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915" activeTab="3"/>
  </bookViews>
  <sheets>
    <sheet name="表1一般公共预算预算调整收支总表" sheetId="1" r:id="rId1"/>
    <sheet name="表2 一般公共预算收入调整明细表" sheetId="8" r:id="rId2"/>
    <sheet name="表3 地方一般公共预算支出调整明细表" sheetId="4" r:id="rId3"/>
    <sheet name="表3-1 县本级项目支出调整明细表" sheetId="10" r:id="rId4"/>
    <sheet name="表4 政府性基金收支预算调整表" sheetId="7" r:id="rId5"/>
    <sheet name="表5 国有资本经营收支预算调整表" sheetId="9" r:id="rId6"/>
  </sheets>
  <definedNames>
    <definedName name="_xlnm._FilterDatabase" localSheetId="1" hidden="1">'表2 一般公共预算收入调整明细表'!$A$4:$H$87</definedName>
    <definedName name="_xlnm._FilterDatabase" localSheetId="2" hidden="1">'表3 地方一般公共预算支出调整明细表'!$E$130:$H$137</definedName>
    <definedName name="_xlnm.Print_Area" localSheetId="0">表1一般公共预算预算调整收支总表!$A$1:$I$20</definedName>
    <definedName name="_xlnm.Print_Area" localSheetId="1">'表2 一般公共预算收入调整明细表'!$A$1:$H$87</definedName>
    <definedName name="_xlnm.Print_Area" localSheetId="2">'表3 地方一般公共预算支出调整明细表'!$A$1:$I$137</definedName>
    <definedName name="_xlnm.Print_Area" localSheetId="4">'表4 政府性基金收支预算调整表'!$A$1:$H$37</definedName>
    <definedName name="_xlnm.Print_Titles" localSheetId="1">'表2 一般公共预算收入调整明细表'!$1:$4</definedName>
    <definedName name="_xlnm.Print_Titles" localSheetId="2">'表3 地方一般公共预算支出调整明细表'!$1:$5</definedName>
    <definedName name="_xlnm.Print_Titles" localSheetId="5">'表5 国有资本经营收支预算调整表'!$1:$4</definedName>
    <definedName name="_xlnm.Print_Titles" localSheetId="4">'表4 政府性基金收支预算调整表'!$1:$4</definedName>
  </definedNames>
  <calcPr calcId="144525"/>
</workbook>
</file>

<file path=xl/sharedStrings.xml><?xml version="1.0" encoding="utf-8"?>
<sst xmlns="http://schemas.openxmlformats.org/spreadsheetml/2006/main" count="421" uniqueCount="315">
  <si>
    <t>表1</t>
  </si>
  <si>
    <t>2024年一般公共预算预算调整收支总表</t>
  </si>
  <si>
    <t>单位：万元</t>
  </si>
  <si>
    <t>收入项目</t>
  </si>
  <si>
    <t>年预算数</t>
  </si>
  <si>
    <t>调整预算数</t>
  </si>
  <si>
    <t>支出项目</t>
  </si>
  <si>
    <t>一、</t>
  </si>
  <si>
    <t>地方一般公共预算收入</t>
  </si>
  <si>
    <t>地方一般公共预算支出</t>
  </si>
  <si>
    <t>（一）</t>
  </si>
  <si>
    <t>税收收入</t>
  </si>
  <si>
    <t>二、</t>
  </si>
  <si>
    <t>转移性支出</t>
  </si>
  <si>
    <t>（二）</t>
  </si>
  <si>
    <t>非税收入</t>
  </si>
  <si>
    <t>债务还本支出</t>
  </si>
  <si>
    <t>转移性收入</t>
  </si>
  <si>
    <t>上解支出</t>
  </si>
  <si>
    <t>上级补助收入</t>
  </si>
  <si>
    <t>（三）</t>
  </si>
  <si>
    <t>结转下年支出</t>
  </si>
  <si>
    <t>返还性收入</t>
  </si>
  <si>
    <t>（四）</t>
  </si>
  <si>
    <t>安排预算稳定调节基金</t>
  </si>
  <si>
    <t>一般性转移支付收入</t>
  </si>
  <si>
    <t>（五）</t>
  </si>
  <si>
    <t>调出资金</t>
  </si>
  <si>
    <t>专项转移支付收入</t>
  </si>
  <si>
    <t>上年结转收入</t>
  </si>
  <si>
    <t>调入资金</t>
  </si>
  <si>
    <t>地方政府一般债务转贷收入</t>
  </si>
  <si>
    <t>动用预算稳定调节基金</t>
  </si>
  <si>
    <t>一般公共预算收入合计</t>
  </si>
  <si>
    <t>一般公共预算支出合计</t>
  </si>
  <si>
    <t>表2</t>
  </si>
  <si>
    <t>2024年一般公共预算收入调整明细表</t>
  </si>
  <si>
    <t>序号</t>
  </si>
  <si>
    <t>项目</t>
  </si>
  <si>
    <t>年初预算数</t>
  </si>
  <si>
    <t>调增</t>
  </si>
  <si>
    <t>调减</t>
  </si>
  <si>
    <t>净增加</t>
  </si>
  <si>
    <t>备注</t>
  </si>
  <si>
    <t xml:space="preserve">  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</si>
  <si>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</si>
  <si>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</si>
  <si>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</si>
  <si>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</si>
  <si>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</si>
  <si>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</si>
  <si>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</si>
  <si>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</si>
  <si>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</si>
  <si>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</si>
  <si>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</si>
  <si>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</si>
  <si>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</si>
  <si>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</si>
  <si>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</si>
  <si>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</si>
  <si>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</si>
  <si>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</si>
  <si>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</si>
  <si>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政府住房基金收入</t>
  </si>
  <si>
    <t xml:space="preserve">    其他收入</t>
  </si>
  <si>
    <t xml:space="preserve">  上级补助收入</t>
  </si>
  <si>
    <t xml:space="preserve">    返还性收入</t>
  </si>
  <si>
    <t xml:space="preserve">      所得税基数返还收入 </t>
  </si>
  <si>
    <t xml:space="preserve">      增值税税收返还收入</t>
  </si>
  <si>
    <t xml:space="preserve">      增值税“五五分享”税收返还收入</t>
  </si>
  <si>
    <t xml:space="preserve">    一般性转移支付收入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</si>
  <si>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</si>
  <si>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</si>
  <si>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</si>
  <si>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</si>
  <si>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</si>
  <si>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</si>
  <si>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</si>
  <si>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民族地区转移支付收入</t>
  </si>
  <si>
    <t xml:space="preserve">      体制补助收入</t>
  </si>
  <si>
    <t xml:space="preserve">      巩固脱贫攻坚成果衔接乡村振兴转移支付收入</t>
  </si>
  <si>
    <t xml:space="preserve">      一般公共服务共同财政事权转移支付收入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</si>
  <si>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</si>
  <si>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</si>
  <si>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</si>
  <si>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</si>
  <si>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</si>
  <si>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</si>
  <si>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</si>
  <si>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</si>
  <si>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</si>
  <si>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灾害防治及应急管理共同财政事权转移支付收入</t>
  </si>
  <si>
    <t xml:space="preserve">      增值税留抵退税转移支付收入</t>
  </si>
  <si>
    <t xml:space="preserve">      其他退税减税降费转移支付收入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</si>
  <si>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</si>
  <si>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</si>
  <si>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</si>
  <si>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</si>
  <si>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</si>
  <si>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</si>
  <si>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</si>
  <si>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</si>
  <si>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</si>
  <si>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</si>
  <si>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</si>
  <si>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</si>
  <si>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</si>
  <si>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</si>
  <si>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</si>
  <si>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</si>
  <si>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自然资源海洋气象等</t>
  </si>
  <si>
    <t xml:space="preserve">      住房保障</t>
  </si>
  <si>
    <t xml:space="preserve">      灾害防治及应急管理</t>
  </si>
  <si>
    <t xml:space="preserve">      其他收入</t>
  </si>
  <si>
    <t>债务转贷收入</t>
  </si>
  <si>
    <t>政府性基金调入</t>
  </si>
  <si>
    <t>国有资本经营调入</t>
  </si>
  <si>
    <t>其他资金调入</t>
  </si>
  <si>
    <t>存量资金调入</t>
  </si>
  <si>
    <t>养老保险基金专户资金调入</t>
  </si>
  <si>
    <t>表3</t>
  </si>
  <si>
    <t>2024年地方一般公共预算支出调整明细表</t>
  </si>
  <si>
    <t>类型</t>
  </si>
  <si>
    <t>新支出保障分类科目名称</t>
  </si>
  <si>
    <t>一般公共预算支出总计</t>
  </si>
  <si>
    <t>“三保”支出</t>
  </si>
  <si>
    <t>三保</t>
  </si>
  <si>
    <t>保工资</t>
  </si>
  <si>
    <t>基本工资</t>
  </si>
  <si>
    <t>行政人员工资</t>
  </si>
  <si>
    <t>事业人员工资</t>
  </si>
  <si>
    <t>津贴补贴</t>
  </si>
  <si>
    <t>公务交通补贴</t>
  </si>
  <si>
    <t>奖金</t>
  </si>
  <si>
    <t>绩效工资（不含规范后提高绩效部分）</t>
  </si>
  <si>
    <t>在职工资附加性支出（单位缴费部分）</t>
  </si>
  <si>
    <t>养老保险</t>
  </si>
  <si>
    <t>医疗保险（含生育保险）</t>
  </si>
  <si>
    <t>工伤保险</t>
  </si>
  <si>
    <t>失业保险</t>
  </si>
  <si>
    <t>住房公积金</t>
  </si>
  <si>
    <t>职业年金</t>
  </si>
  <si>
    <t>离休人员经费</t>
  </si>
  <si>
    <t>离休费</t>
  </si>
  <si>
    <t>离休医疗费</t>
  </si>
  <si>
    <t>离休生活补助</t>
  </si>
  <si>
    <t>退休生活补助</t>
  </si>
  <si>
    <t>保运转</t>
  </si>
  <si>
    <t>行政单位公用经费（不含政法部门）</t>
  </si>
  <si>
    <t>政法部门公用经费</t>
  </si>
  <si>
    <t>事业单位公用经费</t>
  </si>
  <si>
    <t>教育部门公用经费</t>
  </si>
  <si>
    <t>卫生部门公用经费</t>
  </si>
  <si>
    <t>其他事业单位公用经费</t>
  </si>
  <si>
    <t>离退休干部公用经费</t>
  </si>
  <si>
    <t>离休干部公用经费</t>
  </si>
  <si>
    <t>退休干部公用经费</t>
  </si>
  <si>
    <t>公务用车经费</t>
  </si>
  <si>
    <t>公务用车购置费</t>
  </si>
  <si>
    <t>公务用车运行维护费</t>
  </si>
  <si>
    <t>公务用车租用费</t>
  </si>
  <si>
    <t>公务用车平台经费</t>
  </si>
  <si>
    <t>工会经费</t>
  </si>
  <si>
    <t>保基本民生</t>
  </si>
  <si>
    <t>学前教育幼儿资助</t>
  </si>
  <si>
    <t>城乡义务教育生均公用经费</t>
  </si>
  <si>
    <t>小学</t>
  </si>
  <si>
    <t>初中</t>
  </si>
  <si>
    <t>义务教育阶段特殊教育学校和随班就读残疾学生生均公用经费</t>
  </si>
  <si>
    <t>义务教育免费提供教科书</t>
  </si>
  <si>
    <t>家庭经济困难学生生活补助</t>
  </si>
  <si>
    <t>普通高中学生资助</t>
  </si>
  <si>
    <t>国家助学金</t>
  </si>
  <si>
    <t>免学杂费</t>
  </si>
  <si>
    <t>中职教育学生资助</t>
  </si>
  <si>
    <t>免学费</t>
  </si>
  <si>
    <t>农村义务教育学生营养改善计划</t>
  </si>
  <si>
    <t>博物馆、纪念馆免费开放补助和公共美术馆、图书馆、文化馆站免费开放补助</t>
  </si>
  <si>
    <t>困难群众救助</t>
  </si>
  <si>
    <t>最低生活保障</t>
  </si>
  <si>
    <t>城市最低生活保障</t>
  </si>
  <si>
    <t>农村最低生活保障</t>
  </si>
  <si>
    <t>特困人员救助供养</t>
  </si>
  <si>
    <t>孤儿等特困儿童基本生活保障</t>
  </si>
  <si>
    <t>临时救助</t>
  </si>
  <si>
    <t>流浪乞讨人员救助</t>
  </si>
  <si>
    <t>残疾人补助</t>
  </si>
  <si>
    <t>困难残疾人生活补贴</t>
  </si>
  <si>
    <t>重度残疾人护理补贴</t>
  </si>
  <si>
    <t>城乡居民基本养老保险</t>
  </si>
  <si>
    <t>财政对企业职工养老保险的补助</t>
  </si>
  <si>
    <t>财政对机关事业单位养老保险的补助</t>
  </si>
  <si>
    <t>老年人福利补贴</t>
  </si>
  <si>
    <t>就业见习补贴</t>
  </si>
  <si>
    <t>优抚对象抚恤和生活补助经费</t>
  </si>
  <si>
    <t>义务兵优待金</t>
  </si>
  <si>
    <t>退役安置支出</t>
  </si>
  <si>
    <t>退役士兵安置</t>
  </si>
  <si>
    <t>军队移交地方政府离退休人员</t>
  </si>
  <si>
    <t>军转干部解困补助</t>
  </si>
  <si>
    <t>军队转业干部补助经费</t>
  </si>
  <si>
    <t>城乡居民基本医疗保险</t>
  </si>
  <si>
    <t>基本公共卫生服务</t>
  </si>
  <si>
    <t>计划生育支出</t>
  </si>
  <si>
    <t>农村部分计划生育家庭奖励扶助</t>
  </si>
  <si>
    <t>全国计划生育特别扶助制度</t>
  </si>
  <si>
    <t>城乡医疗救助</t>
  </si>
  <si>
    <t>疫情防控支出</t>
  </si>
  <si>
    <t>村级支出</t>
  </si>
  <si>
    <t>村委会干部岗位补贴</t>
  </si>
  <si>
    <t>村（居）民小组党组织负责人补助和村（居）民小组长补贴</t>
  </si>
  <si>
    <t>村委会运转经费</t>
  </si>
  <si>
    <t>村(居)民小组运转经费</t>
  </si>
  <si>
    <t>与民生密切相关的公共事业支出</t>
  </si>
  <si>
    <t>供水支出</t>
  </si>
  <si>
    <t>供电支出</t>
  </si>
  <si>
    <t>供暖支出</t>
  </si>
  <si>
    <t>公共交通支出</t>
  </si>
  <si>
    <t xml:space="preserve">  普通高中生均公用经费</t>
  </si>
  <si>
    <t xml:space="preserve">  民族中学高中寄宿学生生活费补助</t>
  </si>
  <si>
    <t xml:space="preserve">  自然灾害生活救助（或受灾人员救助）</t>
  </si>
  <si>
    <t xml:space="preserve">  企业退休人员计划生育奖励</t>
  </si>
  <si>
    <t xml:space="preserve">  机关事业单位职工及军人抚恤补助</t>
  </si>
  <si>
    <t xml:space="preserve">  重点优抚对象生活困难补助</t>
  </si>
  <si>
    <t xml:space="preserve">  社区支出</t>
  </si>
  <si>
    <t xml:space="preserve">     社区干部岗位补贴</t>
  </si>
  <si>
    <t xml:space="preserve">     社区工作经费</t>
  </si>
  <si>
    <t xml:space="preserve">  西部志愿者生活补助</t>
  </si>
  <si>
    <t xml:space="preserve">  三支一扶计划专项补助</t>
  </si>
  <si>
    <t xml:space="preserve">  防治艾滋病经费</t>
  </si>
  <si>
    <t xml:space="preserve">  财政对城镇职工基本医疗保险基金缺口补助</t>
  </si>
  <si>
    <t xml:space="preserve">  财政对失业保险基金的补助</t>
  </si>
  <si>
    <t xml:space="preserve">  财政对工伤保险基金的补助</t>
  </si>
  <si>
    <t>“三保”以外刚性支出</t>
  </si>
  <si>
    <t>“三保”以外刚性支出合计</t>
  </si>
  <si>
    <t>债务付息支出</t>
  </si>
  <si>
    <t>一般债务付息</t>
  </si>
  <si>
    <t>一般债券付息支出</t>
  </si>
  <si>
    <t>一般债券发行费用支出</t>
  </si>
  <si>
    <t>临聘人员、其他财政补助人员支出</t>
  </si>
  <si>
    <t>其他刚性支出政策</t>
  </si>
  <si>
    <t>公务员基础绩效奖</t>
  </si>
  <si>
    <t>公务员年终考核奖</t>
  </si>
  <si>
    <t>事业人员参照公务员规范后绩效奖</t>
  </si>
  <si>
    <t>集中连片乡村教师生活补助</t>
  </si>
  <si>
    <t>部门业务费</t>
  </si>
  <si>
    <t>县级其他刚性及项目支出</t>
  </si>
  <si>
    <t>上级转移支付项目支出</t>
  </si>
  <si>
    <t>上年结转项目支出</t>
  </si>
  <si>
    <t>预备费</t>
  </si>
  <si>
    <t>预留支出</t>
  </si>
  <si>
    <t>増人增资、丧葬抚恤费等预留</t>
  </si>
  <si>
    <t>成本性支出</t>
  </si>
  <si>
    <t>年度目标考核奖</t>
  </si>
  <si>
    <t>不可预见性支出</t>
  </si>
  <si>
    <t>上年结转用于三保支出金额：5114</t>
  </si>
  <si>
    <t>表3-1</t>
  </si>
  <si>
    <t>2024年度县本级级项目调整明细表</t>
  </si>
  <si>
    <t>项目名称</t>
  </si>
  <si>
    <t>调减金额</t>
  </si>
  <si>
    <t>合计</t>
  </si>
  <si>
    <t>2023年购房契税补贴发放专项资金</t>
  </si>
  <si>
    <t>实际需求减少，据实调减。</t>
  </si>
  <si>
    <t>职业年金个人账户记息专项资金</t>
  </si>
  <si>
    <t>年度库款保障乏力，无库款执行，本年度调减，2025年度继续列入预算。</t>
  </si>
  <si>
    <t>拖欠农民工工资保障专项资金</t>
  </si>
  <si>
    <t>根据要求年度必须安排预算，本年度无需使用，予以调减。</t>
  </si>
  <si>
    <t>表4</t>
  </si>
  <si>
    <t>2024年政府性基金收支预算调整表</t>
  </si>
  <si>
    <t>收入总计</t>
  </si>
  <si>
    <t>一、地方政府性基金收入</t>
  </si>
  <si>
    <t>国有土地使用权出让收入</t>
  </si>
  <si>
    <t>新增专项债券项目收入</t>
  </si>
  <si>
    <t>1</t>
  </si>
  <si>
    <t>中医院整体搬迁建设项目收入</t>
  </si>
  <si>
    <t>2</t>
  </si>
  <si>
    <t xml:space="preserve">禄劝工业园区农特产品、西柚果汁、野生菌深加工标准化厂房建设项目收入
</t>
  </si>
  <si>
    <t>5</t>
  </si>
  <si>
    <t>国家储备林项目收入</t>
  </si>
  <si>
    <t>其他政府性基金收入</t>
  </si>
  <si>
    <t>二、转移性收入</t>
  </si>
  <si>
    <t>政府性基金补助收入</t>
  </si>
  <si>
    <t>超长期特别国债</t>
  </si>
  <si>
    <t>其他政府性基金补助收入</t>
  </si>
  <si>
    <t>地方政府专项债务转贷收入</t>
  </si>
  <si>
    <t>再融资转贷债券收入</t>
  </si>
  <si>
    <t>新增专项债券收入</t>
  </si>
  <si>
    <t>3</t>
  </si>
  <si>
    <t>其他政府性基金债务转贷收入</t>
  </si>
  <si>
    <t>支出总计</t>
  </si>
  <si>
    <t>一、地方政府性基金支出</t>
  </si>
  <si>
    <t>地方政府专项债券付息支出</t>
  </si>
  <si>
    <t>地方政府专项债券发行费用支出</t>
  </si>
  <si>
    <t>国有土地使用权出让收入安排的支出</t>
  </si>
  <si>
    <t>土地出让收入计提用于农业农村支出</t>
  </si>
  <si>
    <t>(五)</t>
  </si>
  <si>
    <t>其他政府性基金预算支出（彩票公益金）</t>
  </si>
  <si>
    <t>（六）</t>
  </si>
  <si>
    <t>新增专项债券项目支出</t>
  </si>
  <si>
    <t>（七）</t>
  </si>
  <si>
    <t>上级专款支出</t>
  </si>
  <si>
    <t>（八）</t>
  </si>
  <si>
    <t>上年结转支出</t>
  </si>
  <si>
    <t>二、转移性支出</t>
  </si>
  <si>
    <t>专项债务还本支出</t>
  </si>
  <si>
    <t>调出资金（调入一般公共预算）</t>
  </si>
  <si>
    <t>表5</t>
  </si>
  <si>
    <t>2024年国有资本经营收支预算调整表</t>
  </si>
  <si>
    <t>本级收入</t>
  </si>
  <si>
    <t>国有资本经营收入</t>
  </si>
  <si>
    <t>上级补助补助收入</t>
  </si>
  <si>
    <t>本级支出</t>
  </si>
  <si>
    <t>国有资本经营支出</t>
  </si>
  <si>
    <t>调入一般公共预算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</si>
</sst>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_);[Red]\(#,##0\)"/>
    <numFmt numFmtId="179" formatCode="#,##0_ ;[Red]\-#,##0\ "/>
    <numFmt numFmtId="180" formatCode="0.00_ "/>
  </numFmts>
  <fonts count="59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微软雅黑"/>
      <charset val="134"/>
    </font>
    <font>
      <sz val="12"/>
      <name val="宋体"/>
      <charset val="134"/>
    </font>
    <font>
      <sz val="16"/>
      <name val="黑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"/>
      <scheme val="major"/>
    </font>
    <font>
      <b/>
      <sz val="11"/>
      <name val="宋体"/>
      <charset val="134"/>
    </font>
    <font>
      <sz val="9"/>
      <name val="微软雅黑"/>
      <charset val="134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Microsoft Sans Serif"/>
      <charset val="134"/>
    </font>
    <font>
      <sz val="16"/>
      <name val="Microsoft Sans Serif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9"/>
      <name val="微软雅黑"/>
      <charset val="134"/>
    </font>
    <font>
      <sz val="9"/>
      <name val="宋体"/>
      <charset val="1"/>
    </font>
    <font>
      <sz val="12"/>
      <color indexed="8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b/>
      <sz val="14"/>
      <color indexed="8"/>
      <name val="Times New Roman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134"/>
    </font>
    <font>
      <b/>
      <sz val="12"/>
      <color indexed="8"/>
      <name val="黑体"/>
      <charset val="134"/>
    </font>
    <font>
      <b/>
      <sz val="14"/>
      <color indexed="8"/>
      <name val="黑体"/>
      <charset val="134"/>
    </font>
    <font>
      <sz val="12"/>
      <color indexed="8"/>
      <name val="Times New Roman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3" fillId="13" borderId="16" applyNumberFormat="0" applyAlignment="0" applyProtection="0">
      <alignment vertical="center"/>
    </xf>
    <xf numFmtId="0" fontId="54" fillId="14" borderId="21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6" fillId="0" borderId="0">
      <alignment vertical="top"/>
      <protection locked="0"/>
    </xf>
  </cellStyleXfs>
  <cellXfs count="2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>
      <alignment vertical="center"/>
    </xf>
    <xf numFmtId="0" fontId="4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 applyProtection="1">
      <alignment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vertical="center" wrapText="1"/>
    </xf>
    <xf numFmtId="176" fontId="10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76" fontId="9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>
      <alignment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vertical="center" wrapText="1"/>
    </xf>
    <xf numFmtId="177" fontId="11" fillId="2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2" borderId="1" xfId="49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177" fontId="16" fillId="2" borderId="0" xfId="0" applyNumberFormat="1" applyFont="1" applyFill="1" applyBorder="1" applyAlignment="1" applyProtection="1">
      <alignment vertical="center"/>
      <protection locked="0"/>
    </xf>
    <xf numFmtId="0" fontId="17" fillId="2" borderId="0" xfId="0" applyFont="1" applyFill="1">
      <alignment vertical="center"/>
    </xf>
    <xf numFmtId="0" fontId="1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1" fillId="2" borderId="10" xfId="0" applyNumberFormat="1" applyFont="1" applyFill="1" applyBorder="1" applyAlignment="1" applyProtection="1">
      <alignment horizontal="center" vertical="center" wrapText="1"/>
    </xf>
    <xf numFmtId="177" fontId="21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2" fillId="2" borderId="9" xfId="0" applyNumberFormat="1" applyFont="1" applyFill="1" applyBorder="1" applyAlignment="1" applyProtection="1">
      <alignment horizontal="center" vertical="center" wrapText="1"/>
    </xf>
    <xf numFmtId="49" fontId="22" fillId="2" borderId="1" xfId="0" applyNumberFormat="1" applyFont="1" applyFill="1" applyBorder="1" applyAlignment="1" applyProtection="1">
      <alignment horizontal="left" vertical="center" wrapText="1"/>
    </xf>
    <xf numFmtId="3" fontId="15" fillId="2" borderId="1" xfId="0" applyNumberFormat="1" applyFont="1" applyFill="1" applyBorder="1" applyAlignment="1" applyProtection="1">
      <alignment horizontal="right" vertical="center"/>
    </xf>
    <xf numFmtId="49" fontId="22" fillId="2" borderId="1" xfId="0" applyNumberFormat="1" applyFont="1" applyFill="1" applyBorder="1" applyAlignment="1" applyProtection="1">
      <alignment horizontal="left" vertical="center" wrapText="1" indent="1"/>
    </xf>
    <xf numFmtId="49" fontId="5" fillId="2" borderId="11" xfId="0" applyNumberFormat="1" applyFont="1" applyFill="1" applyBorder="1" applyAlignment="1" applyProtection="1">
      <alignment horizontal="left" vertical="center" wrapText="1" indent="2"/>
    </xf>
    <xf numFmtId="3" fontId="8" fillId="2" borderId="1" xfId="0" applyNumberFormat="1" applyFont="1" applyFill="1" applyBorder="1" applyAlignment="1" applyProtection="1">
      <alignment horizontal="right" vertical="center"/>
    </xf>
    <xf numFmtId="49" fontId="5" fillId="2" borderId="11" xfId="0" applyNumberFormat="1" applyFont="1" applyFill="1" applyBorder="1" applyAlignment="1" applyProtection="1">
      <alignment horizontal="left" vertical="center" wrapText="1" indent="3"/>
    </xf>
    <xf numFmtId="49" fontId="22" fillId="2" borderId="11" xfId="0" applyNumberFormat="1" applyFont="1" applyFill="1" applyBorder="1" applyAlignment="1" applyProtection="1">
      <alignment horizontal="left" vertical="center" wrapText="1" indent="1"/>
    </xf>
    <xf numFmtId="3" fontId="8" fillId="2" borderId="11" xfId="0" applyNumberFormat="1" applyFont="1" applyFill="1" applyBorder="1" applyAlignment="1" applyProtection="1">
      <alignment horizontal="right" vertical="center"/>
    </xf>
    <xf numFmtId="49" fontId="5" fillId="2" borderId="11" xfId="0" applyNumberFormat="1" applyFont="1" applyFill="1" applyBorder="1" applyAlignment="1" applyProtection="1">
      <alignment horizontal="left" vertical="center" wrapText="1" indent="4"/>
    </xf>
    <xf numFmtId="177" fontId="8" fillId="2" borderId="0" xfId="0" applyNumberFormat="1" applyFont="1" applyFill="1" applyBorder="1" applyAlignment="1" applyProtection="1">
      <alignment vertical="center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7" fontId="15" fillId="2" borderId="1" xfId="0" applyNumberFormat="1" applyFont="1" applyFill="1" applyBorder="1" applyAlignment="1" applyProtection="1">
      <alignment horizontal="right" vertical="center"/>
      <protection locked="0"/>
    </xf>
    <xf numFmtId="177" fontId="23" fillId="2" borderId="1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177" fontId="8" fillId="2" borderId="1" xfId="0" applyNumberFormat="1" applyFont="1" applyFill="1" applyBorder="1" applyAlignment="1" applyProtection="1">
      <alignment vertical="center"/>
    </xf>
    <xf numFmtId="177" fontId="8" fillId="2" borderId="1" xfId="0" applyNumberFormat="1" applyFont="1" applyFill="1" applyBorder="1" applyAlignment="1" applyProtection="1">
      <alignment vertical="center" wrapText="1"/>
    </xf>
    <xf numFmtId="177" fontId="16" fillId="2" borderId="1" xfId="0" applyNumberFormat="1" applyFont="1" applyFill="1" applyBorder="1" applyAlignment="1" applyProtection="1">
      <alignment vertical="center"/>
      <protection locked="0"/>
    </xf>
    <xf numFmtId="49" fontId="8" fillId="2" borderId="11" xfId="0" applyNumberFormat="1" applyFont="1" applyFill="1" applyBorder="1" applyAlignment="1" applyProtection="1">
      <alignment horizontal="left" vertical="center" wrapText="1" indent="3"/>
      <protection locked="0"/>
    </xf>
    <xf numFmtId="49" fontId="24" fillId="2" borderId="11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11" xfId="0" applyNumberFormat="1" applyFont="1" applyFill="1" applyBorder="1" applyAlignment="1" applyProtection="1">
      <alignment vertical="center" wrapText="1"/>
    </xf>
    <xf numFmtId="49" fontId="5" fillId="2" borderId="11" xfId="0" applyNumberFormat="1" applyFont="1" applyFill="1" applyBorder="1" applyAlignment="1" applyProtection="1">
      <alignment vertical="center" wrapText="1"/>
    </xf>
    <xf numFmtId="49" fontId="22" fillId="2" borderId="11" xfId="0" applyNumberFormat="1" applyFont="1" applyFill="1" applyBorder="1" applyAlignment="1" applyProtection="1">
      <alignment horizontal="center" vertical="center" wrapText="1"/>
    </xf>
    <xf numFmtId="49" fontId="22" fillId="2" borderId="11" xfId="0" applyNumberFormat="1" applyFont="1" applyFill="1" applyBorder="1" applyAlignment="1" applyProtection="1">
      <alignment horizontal="left" vertical="center" wrapText="1"/>
    </xf>
    <xf numFmtId="49" fontId="8" fillId="2" borderId="11" xfId="0" applyNumberFormat="1" applyFont="1" applyFill="1" applyBorder="1" applyAlignment="1" applyProtection="1">
      <alignment horizontal="left" vertical="center" wrapText="1" indent="2"/>
    </xf>
    <xf numFmtId="49" fontId="8" fillId="2" borderId="11" xfId="0" applyNumberFormat="1" applyFont="1" applyFill="1" applyBorder="1" applyAlignment="1" applyProtection="1">
      <alignment horizontal="left" vertical="center" wrapText="1" indent="3"/>
    </xf>
    <xf numFmtId="49" fontId="22" fillId="2" borderId="1" xfId="0" applyNumberFormat="1" applyFont="1" applyFill="1" applyBorder="1" applyAlignment="1" applyProtection="1">
      <alignment horizontal="center" vertical="center" wrapText="1"/>
    </xf>
    <xf numFmtId="3" fontId="15" fillId="2" borderId="11" xfId="0" applyNumberFormat="1" applyFont="1" applyFill="1" applyBorder="1" applyAlignment="1" applyProtection="1">
      <alignment horizontal="right" vertical="center"/>
    </xf>
    <xf numFmtId="49" fontId="22" fillId="2" borderId="3" xfId="0" applyNumberFormat="1" applyFont="1" applyFill="1" applyBorder="1" applyAlignment="1" applyProtection="1">
      <alignment horizontal="center" vertical="center" wrapText="1"/>
    </xf>
    <xf numFmtId="49" fontId="22" fillId="2" borderId="4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left" vertical="center" wrapText="1" indent="1"/>
    </xf>
    <xf numFmtId="49" fontId="22" fillId="2" borderId="12" xfId="0" applyNumberFormat="1" applyFont="1" applyFill="1" applyBorder="1" applyAlignment="1" applyProtection="1">
      <alignment horizontal="center" vertical="center" wrapText="1"/>
    </xf>
    <xf numFmtId="49" fontId="15" fillId="2" borderId="13" xfId="0" applyNumberFormat="1" applyFont="1" applyFill="1" applyBorder="1" applyAlignment="1" applyProtection="1">
      <alignment horizontal="left" vertical="center" wrapText="1"/>
    </xf>
    <xf numFmtId="3" fontId="15" fillId="2" borderId="10" xfId="0" applyNumberFormat="1" applyFont="1" applyFill="1" applyBorder="1" applyAlignment="1" applyProtection="1">
      <alignment horizontal="right" vertical="center"/>
    </xf>
    <xf numFmtId="0" fontId="25" fillId="2" borderId="1" xfId="0" applyFont="1" applyFill="1" applyBorder="1" applyAlignment="1">
      <alignment vertical="center" wrapText="1"/>
    </xf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vertical="top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top"/>
      <protection locked="0"/>
    </xf>
    <xf numFmtId="177" fontId="26" fillId="0" borderId="0" xfId="0" applyNumberFormat="1" applyFont="1" applyFill="1" applyAlignment="1" applyProtection="1">
      <alignment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wrapText="1"/>
    </xf>
    <xf numFmtId="177" fontId="28" fillId="0" borderId="0" xfId="0" applyNumberFormat="1" applyFont="1" applyFill="1" applyAlignment="1" applyProtection="1">
      <alignment horizontal="righ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177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77" fontId="29" fillId="0" borderId="1" xfId="49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vertical="center" wrapText="1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7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5" fillId="0" borderId="14" xfId="0" applyNumberFormat="1" applyFont="1" applyFill="1" applyBorder="1" applyAlignment="1" applyProtection="1">
      <alignment horizontal="right" vertical="center" wrapText="1"/>
      <protection locked="0"/>
    </xf>
    <xf numFmtId="177" fontId="8" fillId="3" borderId="11" xfId="0" applyNumberFormat="1" applyFont="1" applyFill="1" applyBorder="1" applyAlignment="1" applyProtection="1">
      <alignment vertical="center"/>
      <protection locked="0"/>
    </xf>
    <xf numFmtId="177" fontId="29" fillId="0" borderId="1" xfId="49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vertical="center" wrapText="1"/>
      <protection locked="0"/>
    </xf>
    <xf numFmtId="177" fontId="8" fillId="3" borderId="13" xfId="0" applyNumberFormat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7" fontId="8" fillId="3" borderId="11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1" fillId="0" borderId="0" xfId="0" applyFont="1" applyFill="1">
      <alignment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32" fillId="0" borderId="0" xfId="0" applyFont="1" applyFill="1" applyAlignment="1">
      <alignment horizontal="center" vertical="center" wrapText="1"/>
    </xf>
    <xf numFmtId="178" fontId="33" fillId="0" borderId="15" xfId="0" applyNumberFormat="1" applyFont="1" applyFill="1" applyBorder="1" applyAlignment="1">
      <alignment horizontal="right" vertical="center" wrapText="1"/>
    </xf>
    <xf numFmtId="0" fontId="34" fillId="0" borderId="1" xfId="0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176" fontId="34" fillId="0" borderId="3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178" fontId="29" fillId="0" borderId="1" xfId="49" applyNumberFormat="1" applyFont="1" applyFill="1" applyBorder="1" applyAlignment="1" applyProtection="1">
      <alignment horizontal="center" vertical="center" wrapText="1"/>
    </xf>
    <xf numFmtId="178" fontId="29" fillId="0" borderId="3" xfId="4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176" fontId="25" fillId="2" borderId="3" xfId="0" applyNumberFormat="1" applyFont="1" applyFill="1" applyBorder="1" applyAlignment="1">
      <alignment horizontal="center" vertical="center" wrapText="1"/>
    </xf>
    <xf numFmtId="176" fontId="25" fillId="0" borderId="3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178" fontId="37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178" fontId="25" fillId="2" borderId="1" xfId="0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49" applyFont="1" applyFill="1" applyBorder="1" applyAlignment="1" applyProtection="1">
      <alignment horizontal="left" vertical="center" wrapText="1"/>
    </xf>
    <xf numFmtId="178" fontId="38" fillId="0" borderId="1" xfId="0" applyNumberFormat="1" applyFont="1" applyFill="1" applyBorder="1" applyAlignment="1">
      <alignment horizontal="center" vertical="center" wrapText="1"/>
    </xf>
    <xf numFmtId="176" fontId="25" fillId="2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176" fontId="39" fillId="2" borderId="1" xfId="0" applyNumberFormat="1" applyFont="1" applyFill="1" applyBorder="1" applyAlignment="1">
      <alignment horizontal="center" vertical="center" wrapText="1"/>
    </xf>
    <xf numFmtId="179" fontId="29" fillId="0" borderId="1" xfId="49" applyNumberFormat="1" applyFont="1" applyFill="1" applyBorder="1" applyAlignment="1" applyProtection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179" fontId="25" fillId="0" borderId="1" xfId="0" applyNumberFormat="1" applyFont="1" applyFill="1" applyBorder="1" applyAlignment="1">
      <alignment horizontal="center" vertical="center" wrapText="1"/>
    </xf>
    <xf numFmtId="0" fontId="35" fillId="0" borderId="1" xfId="49" applyFont="1" applyFill="1" applyBorder="1" applyAlignment="1" applyProtection="1">
      <alignment horizontal="center" vertical="center" wrapText="1"/>
    </xf>
    <xf numFmtId="0" fontId="35" fillId="0" borderId="3" xfId="49" applyFont="1" applyFill="1" applyBorder="1" applyAlignment="1" applyProtection="1">
      <alignment horizontal="center" vertical="center" wrapText="1"/>
    </xf>
    <xf numFmtId="0" fontId="35" fillId="0" borderId="4" xfId="49" applyFont="1" applyFill="1" applyBorder="1" applyAlignment="1" applyProtection="1">
      <alignment horizontal="center" vertical="center" wrapText="1"/>
    </xf>
    <xf numFmtId="176" fontId="29" fillId="0" borderId="3" xfId="49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0" fontId="0" fillId="0" borderId="0" xfId="0" applyFill="1" applyBorder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30" fillId="0" borderId="1" xfId="0" applyNumberFormat="1" applyFont="1" applyFill="1" applyBorder="1">
      <alignment vertical="center"/>
    </xf>
    <xf numFmtId="176" fontId="0" fillId="0" borderId="0" xfId="0" applyNumberFormat="1" applyFill="1">
      <alignment vertical="center"/>
    </xf>
    <xf numFmtId="0" fontId="30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vertical="center" wrapText="1"/>
    </xf>
    <xf numFmtId="178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view="pageBreakPreview" zoomScale="85" zoomScaleNormal="100" topLeftCell="A4" workbookViewId="0">
      <selection activeCell="J18" sqref="J18"/>
    </sheetView>
  </sheetViews>
  <sheetFormatPr defaultColWidth="9" defaultRowHeight="13.5"/>
  <cols>
    <col min="1" max="1" width="11.75" style="144" customWidth="1"/>
    <col min="2" max="2" width="26.4666666666667" style="145" customWidth="1"/>
    <col min="3" max="4" width="19.4083333333333" style="146" customWidth="1"/>
    <col min="5" max="5" width="12" style="144" customWidth="1"/>
    <col min="6" max="6" width="24.4083333333333" style="145" customWidth="1"/>
    <col min="7" max="8" width="20.15" style="146" customWidth="1"/>
    <col min="9" max="9" width="13.8166666666667" style="147" customWidth="1"/>
    <col min="10" max="10" width="16.9166666666667" style="147" customWidth="1"/>
    <col min="11" max="11" width="10.875" style="147" customWidth="1"/>
    <col min="12" max="12" width="10.5" style="147" customWidth="1"/>
    <col min="13" max="13" width="10.125" style="147" customWidth="1"/>
    <col min="14" max="14" width="9.5" style="147" customWidth="1"/>
    <col min="15" max="16384" width="9" style="147"/>
  </cols>
  <sheetData>
    <row r="1" ht="34.5" customHeight="1" spans="1:9">
      <c r="A1" s="148" t="s">
        <v>0</v>
      </c>
      <c r="B1" s="149"/>
      <c r="I1" s="189"/>
    </row>
    <row r="2" ht="31.5" customHeight="1" spans="1:9">
      <c r="A2" s="150" t="s">
        <v>1</v>
      </c>
      <c r="B2" s="150"/>
      <c r="C2" s="150"/>
      <c r="D2" s="150"/>
      <c r="E2" s="150"/>
      <c r="F2" s="150"/>
      <c r="G2" s="150"/>
      <c r="H2" s="150"/>
      <c r="I2" s="190"/>
    </row>
    <row r="3" ht="29" customHeight="1" spans="1:9">
      <c r="A3" s="151" t="s">
        <v>2</v>
      </c>
      <c r="B3" s="151"/>
      <c r="C3" s="151"/>
      <c r="D3" s="151"/>
      <c r="E3" s="151"/>
      <c r="F3" s="151"/>
      <c r="G3" s="151"/>
      <c r="H3" s="151"/>
      <c r="I3" s="151"/>
    </row>
    <row r="4" ht="45.75" customHeight="1" spans="1:9">
      <c r="A4" s="152" t="s">
        <v>3</v>
      </c>
      <c r="B4" s="152"/>
      <c r="C4" s="153" t="s">
        <v>4</v>
      </c>
      <c r="D4" s="153" t="s">
        <v>5</v>
      </c>
      <c r="E4" s="152" t="s">
        <v>6</v>
      </c>
      <c r="F4" s="152"/>
      <c r="G4" s="154" t="s">
        <v>4</v>
      </c>
      <c r="H4" s="154" t="s">
        <v>5</v>
      </c>
      <c r="I4" s="191"/>
    </row>
    <row r="5" s="141" customFormat="1" ht="66" customHeight="1" spans="1:9">
      <c r="A5" s="152" t="s">
        <v>7</v>
      </c>
      <c r="B5" s="155" t="s">
        <v>8</v>
      </c>
      <c r="C5" s="156">
        <f>C6+C7</f>
        <v>70000</v>
      </c>
      <c r="D5" s="156">
        <f>D6+D7</f>
        <v>85000</v>
      </c>
      <c r="E5" s="152" t="s">
        <v>7</v>
      </c>
      <c r="F5" s="155" t="s">
        <v>9</v>
      </c>
      <c r="G5" s="157">
        <v>450364</v>
      </c>
      <c r="H5" s="157">
        <f>'表3 地方一般公共预算支出调整明细表'!H6</f>
        <v>439764.443</v>
      </c>
      <c r="I5" s="192"/>
    </row>
    <row r="6" ht="66" customHeight="1" spans="1:9">
      <c r="A6" s="158" t="s">
        <v>10</v>
      </c>
      <c r="B6" s="159" t="s">
        <v>11</v>
      </c>
      <c r="C6" s="160">
        <f>'表2 一般公共预算收入调整明细表'!C6</f>
        <v>50000</v>
      </c>
      <c r="D6" s="160">
        <f>'表2 一般公共预算收入调整明细表'!G6</f>
        <v>45000</v>
      </c>
      <c r="E6" s="161" t="s">
        <v>12</v>
      </c>
      <c r="F6" s="162" t="s">
        <v>13</v>
      </c>
      <c r="G6" s="163">
        <f>SUM(G7:G11)</f>
        <v>18650</v>
      </c>
      <c r="H6" s="163">
        <f>SUM(H7:H11)</f>
        <v>23188</v>
      </c>
      <c r="I6" s="191"/>
    </row>
    <row r="7" ht="66" customHeight="1" spans="1:12">
      <c r="A7" s="158" t="s">
        <v>14</v>
      </c>
      <c r="B7" s="159" t="s">
        <v>15</v>
      </c>
      <c r="C7" s="160">
        <f>'表2 一般公共预算收入调整明细表'!C21</f>
        <v>20000</v>
      </c>
      <c r="D7" s="160">
        <f>'表2 一般公共预算收入调整明细表'!G21</f>
        <v>40000</v>
      </c>
      <c r="E7" s="164" t="s">
        <v>10</v>
      </c>
      <c r="F7" s="165" t="s">
        <v>16</v>
      </c>
      <c r="G7" s="166">
        <v>11500</v>
      </c>
      <c r="H7" s="166">
        <v>11500</v>
      </c>
      <c r="I7" s="191"/>
      <c r="L7" s="193"/>
    </row>
    <row r="8" s="141" customFormat="1" ht="66" customHeight="1" spans="1:15">
      <c r="A8" s="152" t="s">
        <v>12</v>
      </c>
      <c r="B8" s="155" t="s">
        <v>17</v>
      </c>
      <c r="C8" s="156">
        <f>SUM(C9,C13,C14,C15,C16)</f>
        <v>399014</v>
      </c>
      <c r="D8" s="156">
        <f>SUM(D9,D13,D14,D15,D16)</f>
        <v>377952</v>
      </c>
      <c r="E8" s="164" t="s">
        <v>14</v>
      </c>
      <c r="F8" s="165" t="s">
        <v>18</v>
      </c>
      <c r="G8" s="167">
        <v>7150</v>
      </c>
      <c r="H8" s="167">
        <v>7150</v>
      </c>
      <c r="I8" s="194"/>
      <c r="K8" s="147"/>
      <c r="L8" s="147"/>
      <c r="M8" s="147"/>
      <c r="N8" s="193"/>
      <c r="O8" s="147"/>
    </row>
    <row r="9" s="142" customFormat="1" ht="66" customHeight="1" spans="1:15">
      <c r="A9" s="168" t="s">
        <v>10</v>
      </c>
      <c r="B9" s="165" t="s">
        <v>19</v>
      </c>
      <c r="C9" s="169">
        <f>SUM(C10:C12)</f>
        <v>285110</v>
      </c>
      <c r="D9" s="169">
        <f>SUM(D10:D12)</f>
        <v>288122</v>
      </c>
      <c r="E9" s="164" t="s">
        <v>20</v>
      </c>
      <c r="F9" s="165" t="s">
        <v>21</v>
      </c>
      <c r="G9" s="166"/>
      <c r="H9" s="166"/>
      <c r="I9" s="195"/>
      <c r="K9" s="147"/>
      <c r="L9" s="147"/>
      <c r="M9" s="147"/>
      <c r="N9" s="147"/>
      <c r="O9" s="147"/>
    </row>
    <row r="10" ht="66" customHeight="1" spans="1:9">
      <c r="A10" s="164">
        <v>1</v>
      </c>
      <c r="B10" s="165" t="s">
        <v>22</v>
      </c>
      <c r="C10" s="170">
        <f>'表2 一般公共预算收入调整明细表'!C30</f>
        <v>10020</v>
      </c>
      <c r="D10" s="170">
        <f>'表2 一般公共预算收入调整明细表'!G30</f>
        <v>10020</v>
      </c>
      <c r="E10" s="164" t="s">
        <v>23</v>
      </c>
      <c r="F10" s="165" t="s">
        <v>24</v>
      </c>
      <c r="G10" s="166"/>
      <c r="H10" s="166"/>
      <c r="I10" s="195"/>
    </row>
    <row r="11" ht="66" customHeight="1" spans="1:9">
      <c r="A11" s="164">
        <v>2</v>
      </c>
      <c r="B11" s="165" t="s">
        <v>25</v>
      </c>
      <c r="C11" s="170">
        <v>208290</v>
      </c>
      <c r="D11" s="170">
        <f>'表2 一般公共预算收入调整明细表'!G34</f>
        <v>207095</v>
      </c>
      <c r="E11" s="164" t="s">
        <v>26</v>
      </c>
      <c r="F11" s="165" t="s">
        <v>27</v>
      </c>
      <c r="G11" s="166"/>
      <c r="H11" s="166">
        <v>4538</v>
      </c>
      <c r="I11" s="196"/>
    </row>
    <row r="12" ht="66" customHeight="1" spans="1:9">
      <c r="A12" s="164">
        <v>3</v>
      </c>
      <c r="B12" s="165" t="s">
        <v>28</v>
      </c>
      <c r="C12" s="171">
        <f>70000-3200</f>
        <v>66800</v>
      </c>
      <c r="D12" s="171">
        <f>'表2 一般公共预算收入调整明细表'!G59</f>
        <v>71007</v>
      </c>
      <c r="E12" s="164"/>
      <c r="F12" s="165"/>
      <c r="G12" s="166"/>
      <c r="H12" s="166"/>
      <c r="I12" s="196"/>
    </row>
    <row r="13" ht="66" customHeight="1" spans="1:14">
      <c r="A13" s="164" t="s">
        <v>14</v>
      </c>
      <c r="B13" s="165" t="s">
        <v>29</v>
      </c>
      <c r="C13" s="172">
        <v>51155</v>
      </c>
      <c r="D13" s="172">
        <v>51155</v>
      </c>
      <c r="E13" s="164"/>
      <c r="F13" s="165"/>
      <c r="G13" s="166"/>
      <c r="H13" s="166"/>
      <c r="I13" s="197"/>
      <c r="J13" s="198"/>
      <c r="N13" s="193"/>
    </row>
    <row r="14" ht="66" customHeight="1" spans="1:12">
      <c r="A14" s="173" t="s">
        <v>20</v>
      </c>
      <c r="B14" s="174" t="s">
        <v>30</v>
      </c>
      <c r="C14" s="173">
        <v>51460</v>
      </c>
      <c r="D14" s="173">
        <f>'表2 一般公共预算收入调整明细表'!G80</f>
        <v>27386</v>
      </c>
      <c r="E14" s="164"/>
      <c r="F14" s="165"/>
      <c r="G14" s="166"/>
      <c r="H14" s="166"/>
      <c r="I14" s="191"/>
      <c r="L14" s="193"/>
    </row>
    <row r="15" ht="66" customHeight="1" spans="1:9">
      <c r="A15" s="164" t="s">
        <v>23</v>
      </c>
      <c r="B15" s="175" t="s">
        <v>31</v>
      </c>
      <c r="C15" s="176">
        <v>10350</v>
      </c>
      <c r="D15" s="176">
        <f>'表2 一般公共预算收入调整明细表'!G78</f>
        <v>10350</v>
      </c>
      <c r="E15" s="164"/>
      <c r="F15" s="165"/>
      <c r="G15" s="177"/>
      <c r="H15" s="177"/>
      <c r="I15" s="191"/>
    </row>
    <row r="16" ht="66" customHeight="1" spans="1:9">
      <c r="A16" s="164" t="s">
        <v>26</v>
      </c>
      <c r="B16" s="175" t="s">
        <v>32</v>
      </c>
      <c r="C16" s="176">
        <v>939</v>
      </c>
      <c r="D16" s="176">
        <f>'表2 一般公共预算收入调整明细表'!G86</f>
        <v>939</v>
      </c>
      <c r="E16" s="178"/>
      <c r="F16" s="178"/>
      <c r="G16" s="179"/>
      <c r="H16" s="179"/>
      <c r="I16" s="191"/>
    </row>
    <row r="17" ht="66" customHeight="1" spans="1:9">
      <c r="A17" s="164"/>
      <c r="B17" s="165"/>
      <c r="C17" s="176"/>
      <c r="D17" s="176"/>
      <c r="E17" s="161"/>
      <c r="F17" s="162"/>
      <c r="G17" s="180"/>
      <c r="H17" s="180"/>
      <c r="I17" s="191"/>
    </row>
    <row r="18" ht="66" customHeight="1" spans="1:9">
      <c r="A18" s="164"/>
      <c r="B18" s="165"/>
      <c r="C18" s="170"/>
      <c r="D18" s="170"/>
      <c r="E18" s="164"/>
      <c r="F18" s="165"/>
      <c r="G18" s="177"/>
      <c r="H18" s="177"/>
      <c r="I18" s="191"/>
    </row>
    <row r="19" ht="66" customHeight="1" spans="1:12">
      <c r="A19" s="181"/>
      <c r="B19" s="182"/>
      <c r="C19" s="176"/>
      <c r="D19" s="176"/>
      <c r="E19" s="164"/>
      <c r="F19" s="165"/>
      <c r="G19" s="183"/>
      <c r="H19" s="183"/>
      <c r="I19" s="191"/>
      <c r="K19" s="199"/>
      <c r="L19" s="199"/>
    </row>
    <row r="20" ht="66" customHeight="1" spans="1:9">
      <c r="A20" s="184" t="s">
        <v>33</v>
      </c>
      <c r="B20" s="184"/>
      <c r="C20" s="156">
        <f>SUM(C5,C8)</f>
        <v>469014</v>
      </c>
      <c r="D20" s="156">
        <f>SUM(D5,D8)</f>
        <v>462952</v>
      </c>
      <c r="E20" s="185" t="s">
        <v>34</v>
      </c>
      <c r="F20" s="186"/>
      <c r="G20" s="187">
        <f>SUM(G5,G6)</f>
        <v>469014</v>
      </c>
      <c r="H20" s="187">
        <f>SUM(H5,H6)</f>
        <v>462952.443</v>
      </c>
      <c r="I20" s="191"/>
    </row>
    <row r="21" ht="42.75" customHeight="1" spans="9:10">
      <c r="I21" s="193"/>
      <c r="J21" s="193"/>
    </row>
    <row r="22" ht="27.75" customHeight="1"/>
    <row r="23" ht="27.75" customHeight="1"/>
    <row r="24" ht="27.75" customHeight="1"/>
    <row r="25" ht="27.75" customHeight="1"/>
    <row r="26" ht="27.75" customHeight="1" spans="6:10">
      <c r="F26" s="188"/>
      <c r="J26" s="193"/>
    </row>
    <row r="27" ht="27.75" customHeight="1"/>
    <row r="28" s="143" customFormat="1" ht="27.75" customHeight="1" spans="1:15">
      <c r="A28" s="144"/>
      <c r="B28" s="145"/>
      <c r="C28" s="146"/>
      <c r="D28" s="146"/>
      <c r="E28" s="144"/>
      <c r="F28" s="145"/>
      <c r="G28" s="146"/>
      <c r="H28" s="146"/>
      <c r="I28" s="147"/>
      <c r="K28" s="147"/>
      <c r="L28" s="147"/>
      <c r="M28" s="147"/>
      <c r="N28" s="147"/>
      <c r="O28" s="147"/>
    </row>
    <row r="30" spans="10:10">
      <c r="J30" s="193"/>
    </row>
  </sheetData>
  <mergeCells count="6">
    <mergeCell ref="A2:I2"/>
    <mergeCell ref="A3:I3"/>
    <mergeCell ref="A4:B4"/>
    <mergeCell ref="E4:F4"/>
    <mergeCell ref="A20:B20"/>
    <mergeCell ref="E20:F20"/>
  </mergeCells>
  <pageMargins left="0.905511811023622" right="0.708661417322835" top="0.748031496062992" bottom="0.748031496062992" header="0.31496062992126" footer="0.31496062992126"/>
  <pageSetup paperSize="9" scale="51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view="pageBreakPreview" zoomScaleNormal="100" topLeftCell="B1" workbookViewId="0">
      <selection activeCell="F94" sqref="F94"/>
    </sheetView>
  </sheetViews>
  <sheetFormatPr defaultColWidth="9" defaultRowHeight="13.5" outlineLevelCol="7"/>
  <cols>
    <col min="1" max="1" width="9" style="114"/>
    <col min="2" max="2" width="40.875" style="113" customWidth="1"/>
    <col min="3" max="6" width="14.7583333333333" style="115" customWidth="1"/>
    <col min="7" max="7" width="13.875" style="115" customWidth="1"/>
    <col min="8" max="16384" width="9" style="110"/>
  </cols>
  <sheetData>
    <row r="1" s="110" customFormat="1" ht="14.25" spans="1:7">
      <c r="A1" s="116" t="s">
        <v>35</v>
      </c>
      <c r="B1" s="117"/>
      <c r="C1" s="115"/>
      <c r="D1" s="115"/>
      <c r="E1" s="115"/>
      <c r="F1" s="115"/>
      <c r="G1" s="115"/>
    </row>
    <row r="2" s="111" customFormat="1" ht="20.25" customHeight="1" spans="1:8">
      <c r="A2" s="118" t="s">
        <v>36</v>
      </c>
      <c r="B2" s="118"/>
      <c r="C2" s="118"/>
      <c r="D2" s="118"/>
      <c r="E2" s="118"/>
      <c r="F2" s="118"/>
      <c r="G2" s="118"/>
      <c r="H2" s="118"/>
    </row>
    <row r="3" s="110" customFormat="1" spans="1:8">
      <c r="A3" s="114"/>
      <c r="B3" s="119" t="str">
        <f>""</f>
        <v/>
      </c>
      <c r="C3" s="115"/>
      <c r="D3" s="115"/>
      <c r="E3" s="115"/>
      <c r="F3" s="115"/>
      <c r="G3" s="120"/>
      <c r="H3" s="110" t="s">
        <v>2</v>
      </c>
    </row>
    <row r="4" s="112" customFormat="1" ht="14.25" spans="1:8">
      <c r="A4" s="121" t="s">
        <v>37</v>
      </c>
      <c r="B4" s="121" t="s">
        <v>38</v>
      </c>
      <c r="C4" s="122" t="s">
        <v>39</v>
      </c>
      <c r="D4" s="122" t="s">
        <v>40</v>
      </c>
      <c r="E4" s="122" t="s">
        <v>41</v>
      </c>
      <c r="F4" s="122" t="s">
        <v>42</v>
      </c>
      <c r="G4" s="122" t="s">
        <v>5</v>
      </c>
      <c r="H4" s="122" t="s">
        <v>43</v>
      </c>
    </row>
    <row r="5" s="110" customFormat="1" ht="21.75" customHeight="1" spans="1:8">
      <c r="A5" s="123" t="s">
        <v>7</v>
      </c>
      <c r="B5" s="124" t="s">
        <v>8</v>
      </c>
      <c r="C5" s="125">
        <f>C6+C21</f>
        <v>70000</v>
      </c>
      <c r="D5" s="125">
        <f>D6+D21</f>
        <v>29098</v>
      </c>
      <c r="E5" s="125">
        <f>E6+E21</f>
        <v>14098</v>
      </c>
      <c r="F5" s="125">
        <f>F6+F21</f>
        <v>15000</v>
      </c>
      <c r="G5" s="125">
        <f>G6+G21</f>
        <v>85000</v>
      </c>
      <c r="H5" s="126"/>
    </row>
    <row r="6" s="110" customFormat="1" ht="14.25" spans="1:8">
      <c r="A6" s="127" t="s">
        <v>10</v>
      </c>
      <c r="B6" s="128" t="s">
        <v>44</v>
      </c>
      <c r="C6" s="129">
        <f>SUM(C7:C20)</f>
        <v>50000</v>
      </c>
      <c r="D6" s="129">
        <f>SUM(D7:D20)</f>
        <v>2968</v>
      </c>
      <c r="E6" s="129">
        <f>SUM(E7:E20)</f>
        <v>7968</v>
      </c>
      <c r="F6" s="129">
        <f>SUM(F7:F20)</f>
        <v>-5000</v>
      </c>
      <c r="G6" s="129">
        <f>SUM(G7:G20)</f>
        <v>45000</v>
      </c>
      <c r="H6" s="126"/>
    </row>
    <row r="7" s="110" customFormat="1" ht="14.25" spans="1:8">
      <c r="A7" s="127"/>
      <c r="B7" s="128" t="s">
        <v>45</v>
      </c>
      <c r="C7" s="130">
        <v>28180</v>
      </c>
      <c r="D7" s="130"/>
      <c r="E7" s="131">
        <v>6480</v>
      </c>
      <c r="F7" s="129">
        <f>D7-E7</f>
        <v>-6480</v>
      </c>
      <c r="G7" s="132">
        <f>C7+F7</f>
        <v>21700</v>
      </c>
      <c r="H7" s="126"/>
    </row>
    <row r="8" s="110" customFormat="1" ht="14.25" spans="1:8">
      <c r="A8" s="127"/>
      <c r="B8" s="128" t="s">
        <v>46</v>
      </c>
      <c r="C8" s="130">
        <v>1130</v>
      </c>
      <c r="D8" s="130">
        <v>170</v>
      </c>
      <c r="E8" s="131"/>
      <c r="F8" s="129">
        <f t="shared" ref="F8:F27" si="0">D8-E8</f>
        <v>170</v>
      </c>
      <c r="G8" s="132">
        <f t="shared" ref="G8:G39" si="1">C8+F8</f>
        <v>1300</v>
      </c>
      <c r="H8" s="126"/>
    </row>
    <row r="9" s="110" customFormat="1" ht="14.25" spans="1:8">
      <c r="A9" s="127"/>
      <c r="B9" s="128" t="s">
        <v>47</v>
      </c>
      <c r="C9" s="130">
        <v>720</v>
      </c>
      <c r="D9" s="130"/>
      <c r="E9" s="131">
        <v>50</v>
      </c>
      <c r="F9" s="129">
        <f t="shared" si="0"/>
        <v>-50</v>
      </c>
      <c r="G9" s="132">
        <f t="shared" si="1"/>
        <v>670</v>
      </c>
      <c r="H9" s="126"/>
    </row>
    <row r="10" s="110" customFormat="1" ht="14.25" spans="1:8">
      <c r="A10" s="127"/>
      <c r="B10" s="128" t="s">
        <v>48</v>
      </c>
      <c r="C10" s="130">
        <v>450</v>
      </c>
      <c r="D10" s="130">
        <v>452</v>
      </c>
      <c r="E10" s="131"/>
      <c r="F10" s="129">
        <f t="shared" si="0"/>
        <v>452</v>
      </c>
      <c r="G10" s="132">
        <f t="shared" si="1"/>
        <v>902</v>
      </c>
      <c r="H10" s="126"/>
    </row>
    <row r="11" s="110" customFormat="1" ht="14.25" spans="1:8">
      <c r="A11" s="127"/>
      <c r="B11" s="128" t="s">
        <v>49</v>
      </c>
      <c r="C11" s="130">
        <v>1860</v>
      </c>
      <c r="D11" s="130"/>
      <c r="E11" s="131">
        <v>110</v>
      </c>
      <c r="F11" s="129">
        <f t="shared" si="0"/>
        <v>-110</v>
      </c>
      <c r="G11" s="132">
        <f t="shared" si="1"/>
        <v>1750</v>
      </c>
      <c r="H11" s="126"/>
    </row>
    <row r="12" s="110" customFormat="1" ht="14.25" spans="1:8">
      <c r="A12" s="127"/>
      <c r="B12" s="128" t="s">
        <v>50</v>
      </c>
      <c r="C12" s="130">
        <v>650</v>
      </c>
      <c r="D12" s="130">
        <v>261</v>
      </c>
      <c r="E12" s="131"/>
      <c r="F12" s="129">
        <f t="shared" si="0"/>
        <v>261</v>
      </c>
      <c r="G12" s="132">
        <f t="shared" si="1"/>
        <v>911</v>
      </c>
      <c r="H12" s="126"/>
    </row>
    <row r="13" s="110" customFormat="1" ht="14.25" spans="1:8">
      <c r="A13" s="127"/>
      <c r="B13" s="128" t="s">
        <v>51</v>
      </c>
      <c r="C13" s="130">
        <v>400</v>
      </c>
      <c r="D13" s="130">
        <v>103</v>
      </c>
      <c r="E13" s="131"/>
      <c r="F13" s="129">
        <f t="shared" si="0"/>
        <v>103</v>
      </c>
      <c r="G13" s="132">
        <f t="shared" si="1"/>
        <v>503</v>
      </c>
      <c r="H13" s="126"/>
    </row>
    <row r="14" s="110" customFormat="1" ht="14.25" spans="1:8">
      <c r="A14" s="127"/>
      <c r="B14" s="128" t="s">
        <v>52</v>
      </c>
      <c r="C14" s="130">
        <v>700</v>
      </c>
      <c r="D14" s="130">
        <v>1227</v>
      </c>
      <c r="E14" s="131"/>
      <c r="F14" s="129">
        <f t="shared" si="0"/>
        <v>1227</v>
      </c>
      <c r="G14" s="132">
        <f t="shared" si="1"/>
        <v>1927</v>
      </c>
      <c r="H14" s="126"/>
    </row>
    <row r="15" s="110" customFormat="1" ht="14.25" spans="1:8">
      <c r="A15" s="127"/>
      <c r="B15" s="128" t="s">
        <v>53</v>
      </c>
      <c r="C15" s="130">
        <v>1200</v>
      </c>
      <c r="D15" s="130"/>
      <c r="E15" s="131">
        <v>236</v>
      </c>
      <c r="F15" s="129">
        <f t="shared" si="0"/>
        <v>-236</v>
      </c>
      <c r="G15" s="132">
        <f t="shared" si="1"/>
        <v>964</v>
      </c>
      <c r="H15" s="126"/>
    </row>
    <row r="16" s="110" customFormat="1" ht="14.25" spans="1:8">
      <c r="A16" s="127"/>
      <c r="B16" s="128" t="s">
        <v>54</v>
      </c>
      <c r="C16" s="130">
        <v>950</v>
      </c>
      <c r="D16" s="130"/>
      <c r="E16" s="131">
        <v>50</v>
      </c>
      <c r="F16" s="129">
        <f t="shared" si="0"/>
        <v>-50</v>
      </c>
      <c r="G16" s="132">
        <f t="shared" si="1"/>
        <v>900</v>
      </c>
      <c r="H16" s="126"/>
    </row>
    <row r="17" s="110" customFormat="1" ht="14.25" spans="1:8">
      <c r="A17" s="127"/>
      <c r="B17" s="128" t="s">
        <v>55</v>
      </c>
      <c r="C17" s="130">
        <v>1500</v>
      </c>
      <c r="D17" s="130">
        <v>356</v>
      </c>
      <c r="E17" s="131"/>
      <c r="F17" s="129">
        <f t="shared" si="0"/>
        <v>356</v>
      </c>
      <c r="G17" s="132">
        <f t="shared" si="1"/>
        <v>1856</v>
      </c>
      <c r="H17" s="126"/>
    </row>
    <row r="18" s="110" customFormat="1" ht="14.25" spans="1:8">
      <c r="A18" s="127"/>
      <c r="B18" s="128" t="s">
        <v>56</v>
      </c>
      <c r="C18" s="130">
        <v>2800</v>
      </c>
      <c r="D18" s="130"/>
      <c r="E18" s="131">
        <v>1042</v>
      </c>
      <c r="F18" s="129">
        <f t="shared" si="0"/>
        <v>-1042</v>
      </c>
      <c r="G18" s="132">
        <f t="shared" si="1"/>
        <v>1758</v>
      </c>
      <c r="H18" s="126"/>
    </row>
    <row r="19" s="110" customFormat="1" ht="14.25" spans="1:8">
      <c r="A19" s="127"/>
      <c r="B19" s="128" t="s">
        <v>57</v>
      </c>
      <c r="C19" s="130">
        <v>9300</v>
      </c>
      <c r="D19" s="130">
        <v>359</v>
      </c>
      <c r="E19" s="131"/>
      <c r="F19" s="129">
        <f t="shared" si="0"/>
        <v>359</v>
      </c>
      <c r="G19" s="132">
        <f t="shared" si="1"/>
        <v>9659</v>
      </c>
      <c r="H19" s="126"/>
    </row>
    <row r="20" s="110" customFormat="1" ht="14.25" spans="1:8">
      <c r="A20" s="127"/>
      <c r="B20" s="128" t="s">
        <v>58</v>
      </c>
      <c r="C20" s="130">
        <v>160</v>
      </c>
      <c r="D20" s="130">
        <v>40</v>
      </c>
      <c r="E20" s="131"/>
      <c r="F20" s="129">
        <f t="shared" si="0"/>
        <v>40</v>
      </c>
      <c r="G20" s="132">
        <f t="shared" si="1"/>
        <v>200</v>
      </c>
      <c r="H20" s="126"/>
    </row>
    <row r="21" s="110" customFormat="1" ht="14.25" spans="1:8">
      <c r="A21" s="127" t="s">
        <v>14</v>
      </c>
      <c r="B21" s="128" t="s">
        <v>59</v>
      </c>
      <c r="C21" s="129">
        <f>SUM(C22:C27)</f>
        <v>20000</v>
      </c>
      <c r="D21" s="129">
        <f>SUM(D22:D27)</f>
        <v>26130</v>
      </c>
      <c r="E21" s="129">
        <f>SUM(E22:E27)</f>
        <v>6130</v>
      </c>
      <c r="F21" s="129">
        <f>SUM(F22:F27)</f>
        <v>20000</v>
      </c>
      <c r="G21" s="132">
        <f t="shared" si="1"/>
        <v>40000</v>
      </c>
      <c r="H21" s="126"/>
    </row>
    <row r="22" s="110" customFormat="1" ht="14.25" spans="1:8">
      <c r="A22" s="127"/>
      <c r="B22" s="128" t="s">
        <v>60</v>
      </c>
      <c r="C22" s="130">
        <v>3500</v>
      </c>
      <c r="D22" s="130"/>
      <c r="E22" s="130">
        <v>1200</v>
      </c>
      <c r="F22" s="129">
        <f t="shared" si="0"/>
        <v>-1200</v>
      </c>
      <c r="G22" s="132">
        <f t="shared" si="1"/>
        <v>2300</v>
      </c>
      <c r="H22" s="126"/>
    </row>
    <row r="23" s="110" customFormat="1" ht="14.25" spans="1:8">
      <c r="A23" s="127"/>
      <c r="B23" s="128" t="s">
        <v>61</v>
      </c>
      <c r="C23" s="130">
        <v>4000</v>
      </c>
      <c r="D23" s="130"/>
      <c r="E23" s="130">
        <v>700</v>
      </c>
      <c r="F23" s="129">
        <f t="shared" si="0"/>
        <v>-700</v>
      </c>
      <c r="G23" s="132">
        <f t="shared" si="1"/>
        <v>3300</v>
      </c>
      <c r="H23" s="126"/>
    </row>
    <row r="24" s="110" customFormat="1" ht="14.25" spans="1:8">
      <c r="A24" s="127"/>
      <c r="B24" s="128" t="s">
        <v>62</v>
      </c>
      <c r="C24" s="130">
        <v>3000</v>
      </c>
      <c r="D24" s="130">
        <v>3800</v>
      </c>
      <c r="E24" s="130"/>
      <c r="F24" s="129">
        <f t="shared" si="0"/>
        <v>3800</v>
      </c>
      <c r="G24" s="132">
        <f t="shared" si="1"/>
        <v>6800</v>
      </c>
      <c r="H24" s="126"/>
    </row>
    <row r="25" s="110" customFormat="1" ht="14.25" spans="1:8">
      <c r="A25" s="127"/>
      <c r="B25" s="128" t="s">
        <v>63</v>
      </c>
      <c r="C25" s="130">
        <v>5000</v>
      </c>
      <c r="D25" s="130">
        <v>22000</v>
      </c>
      <c r="E25" s="130"/>
      <c r="F25" s="129">
        <f t="shared" si="0"/>
        <v>22000</v>
      </c>
      <c r="G25" s="132">
        <f t="shared" si="1"/>
        <v>27000</v>
      </c>
      <c r="H25" s="126"/>
    </row>
    <row r="26" s="110" customFormat="1" ht="14.25" spans="1:8">
      <c r="A26" s="127"/>
      <c r="B26" s="128" t="s">
        <v>64</v>
      </c>
      <c r="C26" s="130">
        <v>0</v>
      </c>
      <c r="D26" s="130">
        <v>330</v>
      </c>
      <c r="E26" s="130"/>
      <c r="F26" s="129">
        <f t="shared" si="0"/>
        <v>330</v>
      </c>
      <c r="G26" s="132">
        <f t="shared" si="1"/>
        <v>330</v>
      </c>
      <c r="H26" s="126"/>
    </row>
    <row r="27" s="110" customFormat="1" ht="14.25" spans="1:8">
      <c r="A27" s="127"/>
      <c r="B27" s="128" t="s">
        <v>65</v>
      </c>
      <c r="C27" s="130">
        <v>4500</v>
      </c>
      <c r="D27" s="130"/>
      <c r="E27" s="130">
        <v>4230</v>
      </c>
      <c r="F27" s="129">
        <f t="shared" si="0"/>
        <v>-4230</v>
      </c>
      <c r="G27" s="132">
        <f t="shared" si="1"/>
        <v>270</v>
      </c>
      <c r="H27" s="126"/>
    </row>
    <row r="28" s="110" customFormat="1" ht="18.75" spans="1:8">
      <c r="A28" s="123" t="s">
        <v>12</v>
      </c>
      <c r="B28" s="124" t="s">
        <v>17</v>
      </c>
      <c r="C28" s="133">
        <f>SUM(C29,C78,C79,C80,C86)</f>
        <v>399014</v>
      </c>
      <c r="D28" s="133">
        <f>SUM(D29,D78,D79,D80,D86)</f>
        <v>37378</v>
      </c>
      <c r="E28" s="133">
        <f>SUM(E29,E78,E79,E80,E86)</f>
        <v>58440</v>
      </c>
      <c r="F28" s="133">
        <f>SUM(F29,F78,F79,F80,F86)</f>
        <v>-21062</v>
      </c>
      <c r="G28" s="133">
        <f>SUM(G29,G78,G79,G80,G86)</f>
        <v>377952</v>
      </c>
      <c r="H28" s="126"/>
    </row>
    <row r="29" s="110" customFormat="1" ht="14.25" spans="1:8">
      <c r="A29" s="127" t="s">
        <v>10</v>
      </c>
      <c r="B29" s="134" t="s">
        <v>66</v>
      </c>
      <c r="C29" s="129">
        <f>C30+C34+C59</f>
        <v>285110</v>
      </c>
      <c r="D29" s="129">
        <f>D30+D34+D59</f>
        <v>26378</v>
      </c>
      <c r="E29" s="129">
        <f>E30+E34+E59</f>
        <v>23366</v>
      </c>
      <c r="F29" s="129">
        <f>F30+F34+F59</f>
        <v>3012</v>
      </c>
      <c r="G29" s="132">
        <f t="shared" si="1"/>
        <v>288122</v>
      </c>
      <c r="H29" s="126"/>
    </row>
    <row r="30" s="110" customFormat="1" ht="14.25" spans="1:8">
      <c r="A30" s="127">
        <v>1</v>
      </c>
      <c r="B30" s="134" t="s">
        <v>67</v>
      </c>
      <c r="C30" s="129">
        <f>SUM(C31:C33)</f>
        <v>10020</v>
      </c>
      <c r="D30" s="129">
        <v>0</v>
      </c>
      <c r="E30" s="129">
        <f>SUM(E31:E33)</f>
        <v>0</v>
      </c>
      <c r="F30" s="129">
        <f>SUM(F31:F33)</f>
        <v>0</v>
      </c>
      <c r="G30" s="132">
        <f t="shared" si="1"/>
        <v>10020</v>
      </c>
      <c r="H30" s="126"/>
    </row>
    <row r="31" s="110" customFormat="1" ht="14.25" spans="1:8">
      <c r="A31" s="127"/>
      <c r="B31" s="128" t="s">
        <v>68</v>
      </c>
      <c r="C31" s="130">
        <v>-60</v>
      </c>
      <c r="D31" s="130"/>
      <c r="E31" s="130"/>
      <c r="F31" s="130">
        <f t="shared" ref="F31:F58" si="2">D31-E31</f>
        <v>0</v>
      </c>
      <c r="G31" s="132">
        <f t="shared" si="1"/>
        <v>-60</v>
      </c>
      <c r="H31" s="126"/>
    </row>
    <row r="32" s="110" customFormat="1" ht="14.25" spans="1:8">
      <c r="A32" s="127"/>
      <c r="B32" s="128" t="s">
        <v>69</v>
      </c>
      <c r="C32" s="130">
        <v>1584</v>
      </c>
      <c r="D32" s="130"/>
      <c r="E32" s="130"/>
      <c r="F32" s="130">
        <f t="shared" si="2"/>
        <v>0</v>
      </c>
      <c r="G32" s="132">
        <f t="shared" si="1"/>
        <v>1584</v>
      </c>
      <c r="H32" s="126"/>
    </row>
    <row r="33" s="110" customFormat="1" ht="14.25" spans="1:8">
      <c r="A33" s="127"/>
      <c r="B33" s="128" t="s">
        <v>70</v>
      </c>
      <c r="C33" s="130">
        <v>8496</v>
      </c>
      <c r="D33" s="130"/>
      <c r="E33" s="130"/>
      <c r="F33" s="130">
        <f t="shared" si="2"/>
        <v>0</v>
      </c>
      <c r="G33" s="132">
        <f t="shared" si="1"/>
        <v>8496</v>
      </c>
      <c r="H33" s="126"/>
    </row>
    <row r="34" s="110" customFormat="1" ht="14.25" spans="1:8">
      <c r="A34" s="127">
        <v>2</v>
      </c>
      <c r="B34" s="128" t="s">
        <v>71</v>
      </c>
      <c r="C34" s="129">
        <f>SUM(C35:C58)</f>
        <v>208290</v>
      </c>
      <c r="D34" s="129">
        <f>SUM(D35:D58)</f>
        <v>10912</v>
      </c>
      <c r="E34" s="129">
        <f>SUM(E35:E58)</f>
        <v>12107</v>
      </c>
      <c r="F34" s="129">
        <f>SUM(F35:F58)</f>
        <v>-1195</v>
      </c>
      <c r="G34" s="132">
        <f t="shared" si="1"/>
        <v>207095</v>
      </c>
      <c r="H34" s="126"/>
    </row>
    <row r="35" s="110" customFormat="1" ht="14.25" spans="1:8">
      <c r="A35" s="127"/>
      <c r="B35" s="128" t="s">
        <v>72</v>
      </c>
      <c r="C35" s="130">
        <v>58581</v>
      </c>
      <c r="D35" s="130"/>
      <c r="E35" s="130"/>
      <c r="F35" s="130">
        <f t="shared" si="2"/>
        <v>0</v>
      </c>
      <c r="G35" s="132">
        <f t="shared" si="1"/>
        <v>58581</v>
      </c>
      <c r="H35" s="135"/>
    </row>
    <row r="36" s="110" customFormat="1" ht="14.25" spans="1:8">
      <c r="A36" s="127"/>
      <c r="B36" s="128" t="s">
        <v>73</v>
      </c>
      <c r="C36" s="130">
        <v>15501</v>
      </c>
      <c r="D36" s="130">
        <v>34</v>
      </c>
      <c r="E36" s="130"/>
      <c r="F36" s="130">
        <f t="shared" si="2"/>
        <v>34</v>
      </c>
      <c r="G36" s="136">
        <f t="shared" si="1"/>
        <v>15535</v>
      </c>
      <c r="H36" s="135"/>
    </row>
    <row r="37" s="110" customFormat="1" ht="14.25" spans="1:8">
      <c r="A37" s="127"/>
      <c r="B37" s="128" t="s">
        <v>74</v>
      </c>
      <c r="C37" s="130">
        <v>17460</v>
      </c>
      <c r="D37" s="130"/>
      <c r="E37" s="130"/>
      <c r="F37" s="130">
        <f t="shared" si="2"/>
        <v>0</v>
      </c>
      <c r="G37" s="136">
        <f t="shared" si="1"/>
        <v>17460</v>
      </c>
      <c r="H37" s="135"/>
    </row>
    <row r="38" s="110" customFormat="1" ht="24" customHeight="1" spans="1:8">
      <c r="A38" s="127"/>
      <c r="B38" s="128" t="s">
        <v>75</v>
      </c>
      <c r="C38" s="130">
        <v>1163</v>
      </c>
      <c r="D38" s="130"/>
      <c r="E38" s="130"/>
      <c r="F38" s="130">
        <f t="shared" si="2"/>
        <v>0</v>
      </c>
      <c r="G38" s="136">
        <f t="shared" si="1"/>
        <v>1163</v>
      </c>
      <c r="H38" s="135"/>
    </row>
    <row r="39" s="110" customFormat="1" ht="23" customHeight="1" spans="1:8">
      <c r="A39" s="127"/>
      <c r="B39" s="128" t="s">
        <v>76</v>
      </c>
      <c r="C39" s="130">
        <v>1754</v>
      </c>
      <c r="D39" s="130"/>
      <c r="E39" s="130">
        <v>397</v>
      </c>
      <c r="F39" s="130">
        <f t="shared" si="2"/>
        <v>-397</v>
      </c>
      <c r="G39" s="132">
        <f t="shared" si="1"/>
        <v>1357</v>
      </c>
      <c r="H39" s="126"/>
    </row>
    <row r="40" s="110" customFormat="1" ht="14.25" spans="1:8">
      <c r="A40" s="127"/>
      <c r="B40" s="128" t="s">
        <v>77</v>
      </c>
      <c r="C40" s="130">
        <v>5700</v>
      </c>
      <c r="D40" s="130"/>
      <c r="E40" s="130">
        <v>1047</v>
      </c>
      <c r="F40" s="130">
        <f t="shared" si="2"/>
        <v>-1047</v>
      </c>
      <c r="G40" s="132">
        <f t="shared" ref="G40:G78" si="3">C40+F40</f>
        <v>4653</v>
      </c>
      <c r="H40" s="126"/>
    </row>
    <row r="41" s="110" customFormat="1" ht="14.25" spans="1:8">
      <c r="A41" s="127"/>
      <c r="B41" s="128" t="s">
        <v>78</v>
      </c>
      <c r="C41" s="130">
        <v>11000</v>
      </c>
      <c r="D41" s="130">
        <v>295</v>
      </c>
      <c r="E41" s="130"/>
      <c r="F41" s="130">
        <f t="shared" si="2"/>
        <v>295</v>
      </c>
      <c r="G41" s="132">
        <f t="shared" si="3"/>
        <v>11295</v>
      </c>
      <c r="H41" s="126"/>
    </row>
    <row r="42" s="110" customFormat="1" ht="14.25" spans="1:8">
      <c r="A42" s="127"/>
      <c r="B42" s="128" t="s">
        <v>79</v>
      </c>
      <c r="C42" s="130">
        <v>2169</v>
      </c>
      <c r="D42" s="130"/>
      <c r="E42" s="130"/>
      <c r="F42" s="130">
        <f t="shared" si="2"/>
        <v>0</v>
      </c>
      <c r="G42" s="132">
        <f t="shared" si="3"/>
        <v>2169</v>
      </c>
      <c r="H42" s="126"/>
    </row>
    <row r="43" s="110" customFormat="1" ht="14.25" spans="1:8">
      <c r="A43" s="127"/>
      <c r="B43" s="128" t="s">
        <v>80</v>
      </c>
      <c r="C43" s="130">
        <v>1</v>
      </c>
      <c r="D43" s="130"/>
      <c r="E43" s="130">
        <v>1</v>
      </c>
      <c r="F43" s="130">
        <f t="shared" si="2"/>
        <v>-1</v>
      </c>
      <c r="G43" s="132">
        <f t="shared" si="3"/>
        <v>0</v>
      </c>
      <c r="H43" s="126"/>
    </row>
    <row r="44" s="110" customFormat="1" ht="28.5" spans="1:8">
      <c r="A44" s="127"/>
      <c r="B44" s="128" t="s">
        <v>81</v>
      </c>
      <c r="C44" s="130">
        <v>16631</v>
      </c>
      <c r="D44" s="130"/>
      <c r="E44" s="130">
        <v>1502</v>
      </c>
      <c r="F44" s="130">
        <f t="shared" si="2"/>
        <v>-1502</v>
      </c>
      <c r="G44" s="132">
        <f t="shared" si="3"/>
        <v>15129</v>
      </c>
      <c r="H44" s="126"/>
    </row>
    <row r="45" s="110" customFormat="1" ht="28.5" spans="1:8">
      <c r="A45" s="127"/>
      <c r="B45" s="128" t="s">
        <v>82</v>
      </c>
      <c r="C45" s="130">
        <v>0</v>
      </c>
      <c r="D45" s="130"/>
      <c r="E45" s="130"/>
      <c r="F45" s="130">
        <f t="shared" si="2"/>
        <v>0</v>
      </c>
      <c r="G45" s="132">
        <f t="shared" si="3"/>
        <v>0</v>
      </c>
      <c r="H45" s="126"/>
    </row>
    <row r="46" s="110" customFormat="1" ht="14.25" spans="1:8">
      <c r="A46" s="127"/>
      <c r="B46" s="128" t="s">
        <v>83</v>
      </c>
      <c r="C46" s="130">
        <v>1260</v>
      </c>
      <c r="D46" s="130">
        <v>72</v>
      </c>
      <c r="E46" s="130"/>
      <c r="F46" s="130">
        <f t="shared" si="2"/>
        <v>72</v>
      </c>
      <c r="G46" s="132">
        <f t="shared" si="3"/>
        <v>1332</v>
      </c>
      <c r="H46" s="126"/>
    </row>
    <row r="47" s="110" customFormat="1" ht="14.25" spans="1:8">
      <c r="A47" s="127"/>
      <c r="B47" s="128" t="s">
        <v>84</v>
      </c>
      <c r="C47" s="130">
        <v>14772</v>
      </c>
      <c r="D47" s="130">
        <f>2643+572</f>
        <v>3215</v>
      </c>
      <c r="E47" s="130"/>
      <c r="F47" s="130">
        <f t="shared" si="2"/>
        <v>3215</v>
      </c>
      <c r="G47" s="132">
        <f t="shared" si="3"/>
        <v>17987</v>
      </c>
      <c r="H47" s="126"/>
    </row>
    <row r="48" s="110" customFormat="1" ht="28.5" spans="1:8">
      <c r="A48" s="127"/>
      <c r="B48" s="128" t="s">
        <v>85</v>
      </c>
      <c r="C48" s="130">
        <v>745</v>
      </c>
      <c r="D48" s="130"/>
      <c r="E48" s="130">
        <v>343</v>
      </c>
      <c r="F48" s="130">
        <f t="shared" si="2"/>
        <v>-343</v>
      </c>
      <c r="G48" s="132">
        <f t="shared" si="3"/>
        <v>402</v>
      </c>
      <c r="H48" s="126"/>
    </row>
    <row r="49" s="110" customFormat="1" ht="28.5" spans="1:8">
      <c r="A49" s="127"/>
      <c r="B49" s="128" t="s">
        <v>86</v>
      </c>
      <c r="C49" s="130">
        <v>24370</v>
      </c>
      <c r="D49" s="130"/>
      <c r="E49" s="130">
        <f>6779-30-261</f>
        <v>6488</v>
      </c>
      <c r="F49" s="130">
        <f t="shared" si="2"/>
        <v>-6488</v>
      </c>
      <c r="G49" s="132">
        <f t="shared" si="3"/>
        <v>17882</v>
      </c>
      <c r="H49" s="126"/>
    </row>
    <row r="50" s="110" customFormat="1" ht="14.25" spans="1:8">
      <c r="A50" s="127"/>
      <c r="B50" s="128" t="s">
        <v>87</v>
      </c>
      <c r="C50" s="130">
        <v>5400</v>
      </c>
      <c r="D50" s="130">
        <f>625+111+3+68</f>
        <v>807</v>
      </c>
      <c r="E50" s="130"/>
      <c r="F50" s="130">
        <f t="shared" si="2"/>
        <v>807</v>
      </c>
      <c r="G50" s="132">
        <f t="shared" si="3"/>
        <v>6207</v>
      </c>
      <c r="H50" s="126"/>
    </row>
    <row r="51" s="110" customFormat="1" ht="14.25" spans="1:8">
      <c r="A51" s="127"/>
      <c r="B51" s="128" t="s">
        <v>88</v>
      </c>
      <c r="C51" s="130">
        <v>2170</v>
      </c>
      <c r="D51" s="130"/>
      <c r="E51" s="130">
        <v>1344</v>
      </c>
      <c r="F51" s="130">
        <f t="shared" si="2"/>
        <v>-1344</v>
      </c>
      <c r="G51" s="132">
        <f t="shared" si="3"/>
        <v>826</v>
      </c>
      <c r="H51" s="126"/>
    </row>
    <row r="52" s="110" customFormat="1" ht="14.25" spans="1:8">
      <c r="A52" s="127"/>
      <c r="B52" s="128" t="s">
        <v>89</v>
      </c>
      <c r="C52" s="130">
        <v>22800</v>
      </c>
      <c r="D52" s="130"/>
      <c r="E52" s="130">
        <v>555</v>
      </c>
      <c r="F52" s="130">
        <f t="shared" si="2"/>
        <v>-555</v>
      </c>
      <c r="G52" s="132">
        <f t="shared" si="3"/>
        <v>22245</v>
      </c>
      <c r="H52" s="126"/>
    </row>
    <row r="53" s="110" customFormat="1" ht="14.25" spans="1:8">
      <c r="A53" s="127"/>
      <c r="B53" s="128" t="s">
        <v>90</v>
      </c>
      <c r="C53" s="130">
        <v>5200</v>
      </c>
      <c r="D53" s="130">
        <v>2784</v>
      </c>
      <c r="E53" s="130"/>
      <c r="F53" s="130">
        <f t="shared" si="2"/>
        <v>2784</v>
      </c>
      <c r="G53" s="132">
        <f t="shared" si="3"/>
        <v>7984</v>
      </c>
      <c r="H53" s="126"/>
    </row>
    <row r="54" s="110" customFormat="1" ht="14.25" spans="1:8">
      <c r="A54" s="127"/>
      <c r="B54" s="128" t="s">
        <v>91</v>
      </c>
      <c r="C54" s="130">
        <v>513</v>
      </c>
      <c r="D54" s="130">
        <v>3701</v>
      </c>
      <c r="E54" s="130"/>
      <c r="F54" s="130">
        <f t="shared" si="2"/>
        <v>3701</v>
      </c>
      <c r="G54" s="132">
        <f t="shared" si="3"/>
        <v>4214</v>
      </c>
      <c r="H54" s="126"/>
    </row>
    <row r="55" s="110" customFormat="1" ht="28.5" spans="1:8">
      <c r="A55" s="127"/>
      <c r="B55" s="128" t="s">
        <v>92</v>
      </c>
      <c r="C55" s="130">
        <v>600</v>
      </c>
      <c r="D55" s="130"/>
      <c r="E55" s="130">
        <v>430</v>
      </c>
      <c r="F55" s="130">
        <f t="shared" si="2"/>
        <v>-430</v>
      </c>
      <c r="G55" s="132">
        <f t="shared" si="3"/>
        <v>170</v>
      </c>
      <c r="H55" s="126"/>
    </row>
    <row r="56" s="110" customFormat="1" ht="14.25" spans="1:8">
      <c r="A56" s="127"/>
      <c r="B56" s="128" t="s">
        <v>93</v>
      </c>
      <c r="C56" s="130">
        <v>0</v>
      </c>
      <c r="D56" s="130"/>
      <c r="E56" s="130"/>
      <c r="F56" s="130">
        <f t="shared" si="2"/>
        <v>0</v>
      </c>
      <c r="G56" s="132">
        <f t="shared" si="3"/>
        <v>0</v>
      </c>
      <c r="H56" s="126"/>
    </row>
    <row r="57" s="110" customFormat="1" ht="14.25" spans="1:8">
      <c r="A57" s="127"/>
      <c r="B57" s="128" t="s">
        <v>94</v>
      </c>
      <c r="C57" s="130">
        <v>0</v>
      </c>
      <c r="D57" s="130"/>
      <c r="E57" s="130"/>
      <c r="F57" s="130">
        <f t="shared" si="2"/>
        <v>0</v>
      </c>
      <c r="G57" s="132">
        <f t="shared" si="3"/>
        <v>0</v>
      </c>
      <c r="H57" s="126"/>
    </row>
    <row r="58" s="110" customFormat="1" ht="14.25" spans="1:8">
      <c r="A58" s="127"/>
      <c r="B58" s="128" t="s">
        <v>95</v>
      </c>
      <c r="C58" s="130">
        <v>500</v>
      </c>
      <c r="D58" s="130">
        <v>4</v>
      </c>
      <c r="E58" s="130"/>
      <c r="F58" s="130">
        <f t="shared" si="2"/>
        <v>4</v>
      </c>
      <c r="G58" s="132">
        <f t="shared" si="3"/>
        <v>504</v>
      </c>
      <c r="H58" s="126"/>
    </row>
    <row r="59" s="110" customFormat="1" ht="14.25" spans="1:8">
      <c r="A59" s="127">
        <v>3</v>
      </c>
      <c r="B59" s="128" t="s">
        <v>96</v>
      </c>
      <c r="C59" s="129">
        <f>SUM(C60:C77)</f>
        <v>66800</v>
      </c>
      <c r="D59" s="129">
        <f>SUM(D60:D77)</f>
        <v>15466</v>
      </c>
      <c r="E59" s="129">
        <f>SUM(E60:E77)</f>
        <v>11259</v>
      </c>
      <c r="F59" s="129">
        <f>SUM(F60:F77)</f>
        <v>4207</v>
      </c>
      <c r="G59" s="132">
        <f t="shared" si="3"/>
        <v>71007</v>
      </c>
      <c r="H59" s="126"/>
    </row>
    <row r="60" s="110" customFormat="1" ht="14.25" spans="1:8">
      <c r="A60" s="127"/>
      <c r="B60" s="128" t="s">
        <v>97</v>
      </c>
      <c r="C60" s="130">
        <v>540</v>
      </c>
      <c r="D60" s="130"/>
      <c r="E60" s="130">
        <f>234-25</f>
        <v>209</v>
      </c>
      <c r="F60" s="130">
        <f t="shared" ref="F60:F76" si="4">D60-E60</f>
        <v>-209</v>
      </c>
      <c r="G60" s="132">
        <f t="shared" si="3"/>
        <v>331</v>
      </c>
      <c r="H60" s="126"/>
    </row>
    <row r="61" s="110" customFormat="1" ht="14.25" spans="1:8">
      <c r="A61" s="127"/>
      <c r="B61" s="128" t="s">
        <v>98</v>
      </c>
      <c r="C61" s="130">
        <v>200</v>
      </c>
      <c r="D61" s="130"/>
      <c r="E61" s="130">
        <v>200</v>
      </c>
      <c r="F61" s="130">
        <f t="shared" si="4"/>
        <v>-200</v>
      </c>
      <c r="G61" s="132">
        <f t="shared" si="3"/>
        <v>0</v>
      </c>
      <c r="H61" s="126"/>
    </row>
    <row r="62" s="110" customFormat="1" ht="14.25" spans="1:8">
      <c r="A62" s="127"/>
      <c r="B62" s="128" t="s">
        <v>99</v>
      </c>
      <c r="C62" s="130">
        <v>400</v>
      </c>
      <c r="D62" s="130"/>
      <c r="E62" s="130">
        <v>160</v>
      </c>
      <c r="F62" s="130">
        <f t="shared" si="4"/>
        <v>-160</v>
      </c>
      <c r="G62" s="132">
        <f t="shared" si="3"/>
        <v>240</v>
      </c>
      <c r="H62" s="126"/>
    </row>
    <row r="63" s="113" customFormat="1" ht="14.25" spans="1:8">
      <c r="A63" s="127"/>
      <c r="B63" s="128" t="s">
        <v>100</v>
      </c>
      <c r="C63" s="130">
        <v>3380</v>
      </c>
      <c r="D63" s="130"/>
      <c r="E63" s="130">
        <f>1339-78</f>
        <v>1261</v>
      </c>
      <c r="F63" s="130">
        <f t="shared" si="4"/>
        <v>-1261</v>
      </c>
      <c r="G63" s="132">
        <f t="shared" si="3"/>
        <v>2119</v>
      </c>
      <c r="H63" s="137"/>
    </row>
    <row r="64" s="113" customFormat="1" ht="14.25" spans="1:8">
      <c r="A64" s="138"/>
      <c r="B64" s="128" t="s">
        <v>101</v>
      </c>
      <c r="C64" s="130">
        <v>110</v>
      </c>
      <c r="D64" s="130"/>
      <c r="E64" s="130">
        <v>92</v>
      </c>
      <c r="F64" s="130">
        <f t="shared" si="4"/>
        <v>-92</v>
      </c>
      <c r="G64" s="132">
        <f t="shared" si="3"/>
        <v>18</v>
      </c>
      <c r="H64" s="137"/>
    </row>
    <row r="65" s="110" customFormat="1" ht="14.25" spans="1:8">
      <c r="A65" s="127"/>
      <c r="B65" s="128" t="s">
        <v>102</v>
      </c>
      <c r="C65" s="130">
        <v>8140</v>
      </c>
      <c r="D65" s="130"/>
      <c r="E65" s="130">
        <v>7954</v>
      </c>
      <c r="F65" s="130">
        <f t="shared" si="4"/>
        <v>-7954</v>
      </c>
      <c r="G65" s="132">
        <f t="shared" si="3"/>
        <v>186</v>
      </c>
      <c r="H65" s="126"/>
    </row>
    <row r="66" s="110" customFormat="1" ht="14.25" spans="1:8">
      <c r="A66" s="127"/>
      <c r="B66" s="128" t="s">
        <v>103</v>
      </c>
      <c r="C66" s="130">
        <v>6900</v>
      </c>
      <c r="D66" s="130">
        <v>1000</v>
      </c>
      <c r="E66" s="130"/>
      <c r="F66" s="130">
        <f t="shared" si="4"/>
        <v>1000</v>
      </c>
      <c r="G66" s="132">
        <f t="shared" si="3"/>
        <v>7900</v>
      </c>
      <c r="H66" s="126"/>
    </row>
    <row r="67" s="110" customFormat="1" ht="14.25" spans="1:8">
      <c r="A67" s="127"/>
      <c r="B67" s="128" t="s">
        <v>104</v>
      </c>
      <c r="C67" s="130">
        <v>1670</v>
      </c>
      <c r="D67" s="130"/>
      <c r="E67" s="130">
        <v>33</v>
      </c>
      <c r="F67" s="130">
        <f t="shared" si="4"/>
        <v>-33</v>
      </c>
      <c r="G67" s="132">
        <f t="shared" si="3"/>
        <v>1637</v>
      </c>
      <c r="H67" s="126"/>
    </row>
    <row r="68" s="110" customFormat="1" ht="14.25" spans="1:8">
      <c r="A68" s="127"/>
      <c r="B68" s="128" t="s">
        <v>105</v>
      </c>
      <c r="C68" s="130">
        <v>3200</v>
      </c>
      <c r="D68" s="130">
        <v>5000</v>
      </c>
      <c r="E68" s="130"/>
      <c r="F68" s="130">
        <f t="shared" si="4"/>
        <v>5000</v>
      </c>
      <c r="G68" s="132">
        <f t="shared" si="3"/>
        <v>8200</v>
      </c>
      <c r="H68" s="126"/>
    </row>
    <row r="69" s="110" customFormat="1" ht="14.25" spans="1:8">
      <c r="A69" s="127"/>
      <c r="B69" s="128" t="s">
        <v>106</v>
      </c>
      <c r="C69" s="130">
        <v>0</v>
      </c>
      <c r="D69" s="130">
        <v>850</v>
      </c>
      <c r="E69" s="130"/>
      <c r="F69" s="130">
        <f t="shared" si="4"/>
        <v>850</v>
      </c>
      <c r="G69" s="132">
        <f t="shared" si="3"/>
        <v>850</v>
      </c>
      <c r="H69" s="126"/>
    </row>
    <row r="70" s="110" customFormat="1" ht="14.25" spans="1:8">
      <c r="A70" s="127"/>
      <c r="B70" s="128" t="s">
        <v>107</v>
      </c>
      <c r="C70" s="130">
        <f>36780</f>
        <v>36780</v>
      </c>
      <c r="D70" s="130">
        <f>8851-831+202</f>
        <v>8222</v>
      </c>
      <c r="E70" s="130"/>
      <c r="F70" s="130">
        <f t="shared" si="4"/>
        <v>8222</v>
      </c>
      <c r="G70" s="132">
        <f t="shared" si="3"/>
        <v>45002</v>
      </c>
      <c r="H70" s="126"/>
    </row>
    <row r="71" s="110" customFormat="1" ht="14.25" spans="1:8">
      <c r="A71" s="127"/>
      <c r="B71" s="128" t="s">
        <v>108</v>
      </c>
      <c r="C71" s="130">
        <v>4334</v>
      </c>
      <c r="D71" s="130"/>
      <c r="E71" s="130">
        <v>629</v>
      </c>
      <c r="F71" s="130">
        <f t="shared" si="4"/>
        <v>-629</v>
      </c>
      <c r="G71" s="132">
        <f t="shared" si="3"/>
        <v>3705</v>
      </c>
      <c r="H71" s="126"/>
    </row>
    <row r="72" s="110" customFormat="1" ht="14.25" spans="1:8">
      <c r="A72" s="127"/>
      <c r="B72" s="128" t="s">
        <v>109</v>
      </c>
      <c r="C72" s="130">
        <v>80</v>
      </c>
      <c r="D72" s="130">
        <v>62</v>
      </c>
      <c r="E72" s="130"/>
      <c r="F72" s="130">
        <f t="shared" si="4"/>
        <v>62</v>
      </c>
      <c r="G72" s="132">
        <f t="shared" si="3"/>
        <v>142</v>
      </c>
      <c r="H72" s="126"/>
    </row>
    <row r="73" s="110" customFormat="1" ht="14.25" spans="1:8">
      <c r="A73" s="127"/>
      <c r="B73" s="128" t="s">
        <v>110</v>
      </c>
      <c r="C73" s="130">
        <v>68</v>
      </c>
      <c r="D73" s="130"/>
      <c r="E73" s="130">
        <v>19</v>
      </c>
      <c r="F73" s="130">
        <f t="shared" si="4"/>
        <v>-19</v>
      </c>
      <c r="G73" s="132">
        <f t="shared" si="3"/>
        <v>49</v>
      </c>
      <c r="H73" s="126"/>
    </row>
    <row r="74" s="110" customFormat="1" ht="14.25" spans="1:8">
      <c r="A74" s="127"/>
      <c r="B74" s="128" t="s">
        <v>111</v>
      </c>
      <c r="C74" s="130">
        <v>95</v>
      </c>
      <c r="D74" s="130">
        <v>4</v>
      </c>
      <c r="E74" s="130"/>
      <c r="F74" s="130">
        <f t="shared" si="4"/>
        <v>4</v>
      </c>
      <c r="G74" s="132">
        <f t="shared" si="3"/>
        <v>99</v>
      </c>
      <c r="H74" s="126"/>
    </row>
    <row r="75" s="110" customFormat="1" ht="14.25" spans="1:8">
      <c r="A75" s="127"/>
      <c r="B75" s="128" t="s">
        <v>112</v>
      </c>
      <c r="C75" s="130">
        <v>3</v>
      </c>
      <c r="D75" s="130">
        <v>328</v>
      </c>
      <c r="E75" s="130"/>
      <c r="F75" s="130">
        <f t="shared" si="4"/>
        <v>328</v>
      </c>
      <c r="G75" s="132">
        <f t="shared" si="3"/>
        <v>331</v>
      </c>
      <c r="H75" s="126"/>
    </row>
    <row r="76" s="110" customFormat="1" ht="14.25" spans="1:8">
      <c r="A76" s="127"/>
      <c r="B76" s="128" t="s">
        <v>113</v>
      </c>
      <c r="C76" s="130">
        <v>900</v>
      </c>
      <c r="D76" s="130"/>
      <c r="E76" s="130">
        <v>702</v>
      </c>
      <c r="F76" s="130">
        <f t="shared" si="4"/>
        <v>-702</v>
      </c>
      <c r="G76" s="132">
        <f t="shared" si="3"/>
        <v>198</v>
      </c>
      <c r="H76" s="126"/>
    </row>
    <row r="77" s="110" customFormat="1" ht="14.25" spans="1:8">
      <c r="A77" s="127"/>
      <c r="B77" s="128" t="s">
        <v>114</v>
      </c>
      <c r="C77" s="130">
        <v>0</v>
      </c>
      <c r="D77" s="130"/>
      <c r="E77" s="130"/>
      <c r="F77" s="130">
        <f t="shared" ref="F77:F86" si="5">D77-E77</f>
        <v>0</v>
      </c>
      <c r="G77" s="132">
        <f t="shared" si="3"/>
        <v>0</v>
      </c>
      <c r="H77" s="126"/>
    </row>
    <row r="78" s="110" customFormat="1" ht="24" customHeight="1" spans="1:8">
      <c r="A78" s="137" t="s">
        <v>14</v>
      </c>
      <c r="B78" s="137" t="s">
        <v>115</v>
      </c>
      <c r="C78" s="130">
        <v>10350</v>
      </c>
      <c r="D78" s="130">
        <v>0</v>
      </c>
      <c r="E78" s="130"/>
      <c r="F78" s="130">
        <f t="shared" si="5"/>
        <v>0</v>
      </c>
      <c r="G78" s="132">
        <f t="shared" si="3"/>
        <v>10350</v>
      </c>
      <c r="H78" s="126"/>
    </row>
    <row r="79" s="110" customFormat="1" ht="24" customHeight="1" spans="1:8">
      <c r="A79" s="137" t="s">
        <v>20</v>
      </c>
      <c r="B79" s="137" t="s">
        <v>29</v>
      </c>
      <c r="C79" s="130">
        <f>47955+3200</f>
        <v>51155</v>
      </c>
      <c r="D79" s="130">
        <v>0</v>
      </c>
      <c r="E79" s="130"/>
      <c r="F79" s="130">
        <f t="shared" si="5"/>
        <v>0</v>
      </c>
      <c r="G79" s="132">
        <f t="shared" ref="G79:G86" si="6">C79+F79</f>
        <v>51155</v>
      </c>
      <c r="H79" s="126"/>
    </row>
    <row r="80" s="110" customFormat="1" ht="24" customHeight="1" spans="1:8">
      <c r="A80" s="137" t="s">
        <v>23</v>
      </c>
      <c r="B80" s="137" t="s">
        <v>30</v>
      </c>
      <c r="C80" s="130">
        <f>SUM(C81:C83)</f>
        <v>51460</v>
      </c>
      <c r="D80" s="130">
        <f>SUM(D81:D83)</f>
        <v>11000</v>
      </c>
      <c r="E80" s="130">
        <f>SUM(E81:E83)</f>
        <v>35074</v>
      </c>
      <c r="F80" s="130">
        <f>SUM(F81:F83)</f>
        <v>-24074</v>
      </c>
      <c r="G80" s="130">
        <f>SUM(G81:G83)</f>
        <v>27386</v>
      </c>
      <c r="H80" s="126"/>
    </row>
    <row r="81" s="110" customFormat="1" ht="24" customHeight="1" spans="1:8">
      <c r="A81" s="139">
        <v>1</v>
      </c>
      <c r="B81" s="137" t="s">
        <v>116</v>
      </c>
      <c r="C81" s="130">
        <v>22000</v>
      </c>
      <c r="D81" s="130"/>
      <c r="E81" s="130">
        <f>12841+1</f>
        <v>12842</v>
      </c>
      <c r="F81" s="130">
        <f t="shared" si="5"/>
        <v>-12842</v>
      </c>
      <c r="G81" s="132">
        <f>C81+F81</f>
        <v>9158</v>
      </c>
      <c r="H81" s="126"/>
    </row>
    <row r="82" s="110" customFormat="1" ht="24" customHeight="1" spans="1:8">
      <c r="A82" s="139">
        <v>2</v>
      </c>
      <c r="B82" s="137" t="s">
        <v>117</v>
      </c>
      <c r="C82" s="130">
        <v>260</v>
      </c>
      <c r="D82" s="130"/>
      <c r="E82" s="130">
        <v>32</v>
      </c>
      <c r="F82" s="130">
        <f t="shared" si="5"/>
        <v>-32</v>
      </c>
      <c r="G82" s="132">
        <f t="shared" si="6"/>
        <v>228</v>
      </c>
      <c r="H82" s="126"/>
    </row>
    <row r="83" s="110" customFormat="1" ht="24" customHeight="1" spans="1:8">
      <c r="A83" s="139">
        <v>3</v>
      </c>
      <c r="B83" s="137" t="s">
        <v>118</v>
      </c>
      <c r="C83" s="130">
        <f>SUM(C84:C85)</f>
        <v>29200</v>
      </c>
      <c r="D83" s="130">
        <f>SUM(D84:D85)</f>
        <v>11000</v>
      </c>
      <c r="E83" s="130">
        <f>SUM(E84:E85)</f>
        <v>22200</v>
      </c>
      <c r="F83" s="130">
        <f>SUM(F84:F85)</f>
        <v>-11200</v>
      </c>
      <c r="G83" s="130">
        <f>SUM(G84:G85)</f>
        <v>18000</v>
      </c>
      <c r="H83" s="126"/>
    </row>
    <row r="84" s="110" customFormat="1" ht="24" customHeight="1" spans="1:8">
      <c r="A84" s="137"/>
      <c r="B84" s="137" t="s">
        <v>119</v>
      </c>
      <c r="C84" s="130">
        <v>7000</v>
      </c>
      <c r="D84" s="130">
        <v>11000</v>
      </c>
      <c r="E84" s="130"/>
      <c r="F84" s="130">
        <f t="shared" si="5"/>
        <v>11000</v>
      </c>
      <c r="G84" s="140">
        <f t="shared" si="6"/>
        <v>18000</v>
      </c>
      <c r="H84" s="126"/>
    </row>
    <row r="85" s="110" customFormat="1" ht="24" customHeight="1" spans="1:8">
      <c r="A85" s="137"/>
      <c r="B85" s="137" t="s">
        <v>120</v>
      </c>
      <c r="C85" s="129">
        <v>22200</v>
      </c>
      <c r="D85" s="129"/>
      <c r="E85" s="129">
        <v>22200</v>
      </c>
      <c r="F85" s="130">
        <f t="shared" si="5"/>
        <v>-22200</v>
      </c>
      <c r="G85" s="132">
        <f t="shared" si="6"/>
        <v>0</v>
      </c>
      <c r="H85" s="126"/>
    </row>
    <row r="86" s="110" customFormat="1" ht="24" customHeight="1" spans="1:8">
      <c r="A86" s="137" t="s">
        <v>26</v>
      </c>
      <c r="B86" s="137" t="s">
        <v>32</v>
      </c>
      <c r="C86" s="129">
        <v>939</v>
      </c>
      <c r="D86" s="129"/>
      <c r="E86" s="129"/>
      <c r="F86" s="130">
        <f t="shared" si="5"/>
        <v>0</v>
      </c>
      <c r="G86" s="132">
        <f t="shared" si="6"/>
        <v>939</v>
      </c>
      <c r="H86" s="126"/>
    </row>
    <row r="87" s="110" customFormat="1" ht="24" customHeight="1" spans="1:8">
      <c r="A87" s="123" t="s">
        <v>33</v>
      </c>
      <c r="B87" s="123"/>
      <c r="C87" s="133">
        <f>SUM(C5,C28)</f>
        <v>469014</v>
      </c>
      <c r="D87" s="133">
        <f>SUM(D5,D28)</f>
        <v>66476</v>
      </c>
      <c r="E87" s="133">
        <f>SUM(E5,E28)</f>
        <v>72538</v>
      </c>
      <c r="F87" s="133">
        <f>SUM(F5,F28)</f>
        <v>-6062</v>
      </c>
      <c r="G87" s="133">
        <f>SUM(G5,G28)</f>
        <v>462952</v>
      </c>
      <c r="H87" s="126"/>
    </row>
    <row r="88" s="110" customFormat="1" spans="1:7">
      <c r="A88" s="114"/>
      <c r="B88" s="113"/>
      <c r="C88" s="115"/>
      <c r="D88" s="115"/>
      <c r="E88" s="115"/>
      <c r="F88" s="115"/>
      <c r="G88" s="115"/>
    </row>
    <row r="89" s="110" customFormat="1" spans="1:7">
      <c r="A89" s="114"/>
      <c r="B89" s="113"/>
      <c r="C89" s="115"/>
      <c r="D89" s="115"/>
      <c r="E89" s="115"/>
      <c r="F89" s="115"/>
      <c r="G89" s="115"/>
    </row>
    <row r="90" s="110" customFormat="1" spans="1:7">
      <c r="A90" s="114"/>
      <c r="B90" s="113"/>
      <c r="C90" s="115"/>
      <c r="D90" s="115"/>
      <c r="E90" s="115"/>
      <c r="F90" s="115"/>
      <c r="G90" s="115"/>
    </row>
    <row r="91" s="110" customFormat="1" spans="1:7">
      <c r="A91" s="114"/>
      <c r="B91" s="113"/>
      <c r="C91" s="115"/>
      <c r="D91" s="115"/>
      <c r="E91" s="115"/>
      <c r="F91" s="115"/>
      <c r="G91" s="115"/>
    </row>
    <row r="92" s="110" customFormat="1" spans="1:7">
      <c r="A92" s="114"/>
      <c r="B92" s="113"/>
      <c r="C92" s="115"/>
      <c r="D92" s="115"/>
      <c r="E92" s="115"/>
      <c r="F92" s="115"/>
      <c r="G92" s="115"/>
    </row>
    <row r="93" s="110" customFormat="1" spans="1:7">
      <c r="A93" s="114"/>
      <c r="B93" s="113"/>
      <c r="C93" s="115"/>
      <c r="D93" s="115"/>
      <c r="E93" s="115"/>
      <c r="F93" s="115"/>
      <c r="G93" s="115"/>
    </row>
    <row r="94" s="110" customFormat="1" spans="1:7">
      <c r="A94" s="114"/>
      <c r="B94" s="113"/>
      <c r="C94" s="115"/>
      <c r="D94" s="115"/>
      <c r="E94" s="115"/>
      <c r="F94" s="115"/>
      <c r="G94" s="115"/>
    </row>
    <row r="95" s="110" customFormat="1" spans="1:7">
      <c r="A95" s="114"/>
      <c r="B95" s="113"/>
      <c r="C95" s="115"/>
      <c r="D95" s="115"/>
      <c r="E95" s="115"/>
      <c r="F95" s="115"/>
      <c r="G95" s="115"/>
    </row>
    <row r="96" s="110" customFormat="1" spans="1:7">
      <c r="A96" s="114"/>
      <c r="B96" s="113"/>
      <c r="C96" s="115"/>
      <c r="D96" s="115"/>
      <c r="E96" s="115"/>
      <c r="F96" s="115"/>
      <c r="G96" s="115"/>
    </row>
    <row r="97" s="110" customFormat="1" spans="1:7">
      <c r="A97" s="114"/>
      <c r="B97" s="113"/>
      <c r="C97" s="115"/>
      <c r="D97" s="115"/>
      <c r="E97" s="115"/>
      <c r="F97" s="115"/>
      <c r="G97" s="115"/>
    </row>
    <row r="98" s="110" customFormat="1" spans="1:7">
      <c r="A98" s="114"/>
      <c r="B98" s="113"/>
      <c r="C98" s="115"/>
      <c r="D98" s="115"/>
      <c r="E98" s="115"/>
      <c r="F98" s="115"/>
      <c r="G98" s="115"/>
    </row>
    <row r="99" s="110" customFormat="1" spans="1:7">
      <c r="A99" s="114"/>
      <c r="B99" s="113"/>
      <c r="C99" s="115"/>
      <c r="D99" s="115"/>
      <c r="E99" s="115"/>
      <c r="F99" s="115"/>
      <c r="G99" s="115"/>
    </row>
    <row r="100" s="110" customFormat="1" spans="1:7">
      <c r="A100" s="114"/>
      <c r="B100" s="113"/>
      <c r="C100" s="115"/>
      <c r="D100" s="115"/>
      <c r="E100" s="115"/>
      <c r="F100" s="115"/>
      <c r="G100" s="115"/>
    </row>
  </sheetData>
  <autoFilter ref="A4:H87">
    <extLst/>
  </autoFilter>
  <mergeCells count="2">
    <mergeCell ref="A2:H2"/>
    <mergeCell ref="A87:B87"/>
  </mergeCells>
  <printOptions horizontalCentered="1"/>
  <pageMargins left="0.708333333333333" right="0.708333333333333" top="0.747916666666667" bottom="0.747916666666667" header="0.314583333333333" footer="0.314583333333333"/>
  <pageSetup paperSize="9" scale="67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139"/>
  <sheetViews>
    <sheetView view="pageBreakPreview" zoomScaleNormal="100" workbookViewId="0">
      <pane ySplit="6" topLeftCell="A131" activePane="bottomLeft" state="frozen"/>
      <selection/>
      <selection pane="bottomLeft" activeCell="I132" sqref="I132"/>
    </sheetView>
  </sheetViews>
  <sheetFormatPr defaultColWidth="8" defaultRowHeight="13.5" customHeight="1"/>
  <cols>
    <col min="1" max="1" width="6.75" style="52" customWidth="1"/>
    <col min="2" max="2" width="9.625" style="52" customWidth="1"/>
    <col min="3" max="3" width="36.625" style="52" customWidth="1"/>
    <col min="4" max="4" width="14.875" style="56" customWidth="1"/>
    <col min="5" max="5" width="11.5" style="56" customWidth="1"/>
    <col min="6" max="6" width="12.75" style="56" customWidth="1"/>
    <col min="7" max="7" width="15.75" style="56" customWidth="1"/>
    <col min="8" max="8" width="12.375" style="56" customWidth="1"/>
    <col min="9" max="9" width="17.5" style="57" customWidth="1"/>
    <col min="10" max="229" width="7.875" style="54" customWidth="1"/>
    <col min="230" max="230" width="7.875" style="54"/>
    <col min="231" max="16373" width="8" style="54"/>
    <col min="16374" max="16384" width="8" style="58"/>
  </cols>
  <sheetData>
    <row r="1" s="52" customFormat="1" ht="17.25" customHeight="1" spans="1:9">
      <c r="A1" s="59" t="s">
        <v>121</v>
      </c>
      <c r="D1" s="56"/>
      <c r="E1" s="56"/>
      <c r="F1" s="56"/>
      <c r="G1" s="56"/>
      <c r="H1" s="56"/>
      <c r="I1" s="84"/>
    </row>
    <row r="2" s="52" customFormat="1" ht="35.25" customHeight="1" spans="1:9">
      <c r="A2" s="60" t="s">
        <v>122</v>
      </c>
      <c r="B2" s="61"/>
      <c r="C2" s="61"/>
      <c r="D2" s="61"/>
      <c r="E2" s="61"/>
      <c r="F2" s="61"/>
      <c r="G2" s="61"/>
      <c r="H2" s="61"/>
      <c r="I2" s="84"/>
    </row>
    <row r="3" s="52" customFormat="1" ht="20" customHeight="1" spans="1:9">
      <c r="A3" s="62"/>
      <c r="B3" s="62"/>
      <c r="C3" s="62"/>
      <c r="D3" s="62"/>
      <c r="E3" s="62"/>
      <c r="F3" s="62"/>
      <c r="G3" s="62"/>
      <c r="H3" s="62"/>
      <c r="I3" s="84" t="s">
        <v>2</v>
      </c>
    </row>
    <row r="4" s="52" customFormat="1" ht="23.25" customHeight="1" spans="1:9">
      <c r="A4" s="63" t="s">
        <v>37</v>
      </c>
      <c r="B4" s="64" t="s">
        <v>123</v>
      </c>
      <c r="C4" s="65" t="s">
        <v>124</v>
      </c>
      <c r="D4" s="66" t="s">
        <v>4</v>
      </c>
      <c r="E4" s="66" t="s">
        <v>40</v>
      </c>
      <c r="F4" s="67" t="s">
        <v>41</v>
      </c>
      <c r="G4" s="67" t="s">
        <v>42</v>
      </c>
      <c r="H4" s="66" t="s">
        <v>5</v>
      </c>
      <c r="I4" s="85" t="s">
        <v>43</v>
      </c>
    </row>
    <row r="5" s="52" customFormat="1" ht="47" customHeight="1" spans="1:9">
      <c r="A5" s="68"/>
      <c r="B5" s="69"/>
      <c r="C5" s="70"/>
      <c r="D5" s="66"/>
      <c r="E5" s="66"/>
      <c r="F5" s="71"/>
      <c r="G5" s="71"/>
      <c r="H5" s="66"/>
      <c r="I5" s="85"/>
    </row>
    <row r="6" s="52" customFormat="1" ht="35" customHeight="1" spans="1:9">
      <c r="A6" s="66" t="s">
        <v>125</v>
      </c>
      <c r="B6" s="66"/>
      <c r="C6" s="66"/>
      <c r="D6" s="72">
        <v>450364</v>
      </c>
      <c r="E6" s="72">
        <f t="shared" ref="E6:H6" si="0">SUM(E7,E117,E130,E131,E132,E133)</f>
        <v>34698.723</v>
      </c>
      <c r="F6" s="72">
        <f t="shared" si="0"/>
        <v>45298.28</v>
      </c>
      <c r="G6" s="72">
        <f t="shared" si="0"/>
        <v>-10599.557</v>
      </c>
      <c r="H6" s="72">
        <f t="shared" si="0"/>
        <v>439764.443</v>
      </c>
      <c r="I6" s="72"/>
    </row>
    <row r="7" s="52" customFormat="1" ht="22.5" customHeight="1" spans="1:9">
      <c r="A7" s="73">
        <v>1</v>
      </c>
      <c r="B7" s="74" t="s">
        <v>126</v>
      </c>
      <c r="C7" s="75" t="s">
        <v>127</v>
      </c>
      <c r="D7" s="76">
        <f>D8+D28+D44</f>
        <v>230039</v>
      </c>
      <c r="E7" s="76">
        <f>E8+E28+E44</f>
        <v>11975.833</v>
      </c>
      <c r="F7" s="76">
        <f>F8+F28+F44</f>
        <v>16380.28</v>
      </c>
      <c r="G7" s="76">
        <f>G8+G28+G44</f>
        <v>-4404.447</v>
      </c>
      <c r="H7" s="76">
        <f>H8+H28+H44</f>
        <v>225634.553</v>
      </c>
      <c r="I7" s="86"/>
    </row>
    <row r="8" s="53" customFormat="1" ht="22.5" customHeight="1" spans="1:230">
      <c r="A8" s="73">
        <v>2</v>
      </c>
      <c r="B8" s="74"/>
      <c r="C8" s="77" t="s">
        <v>128</v>
      </c>
      <c r="D8" s="76">
        <f>D9+D12+D13+D14+D15+D16+D23+D27</f>
        <v>165838</v>
      </c>
      <c r="E8" s="76">
        <f>E9+E12+E13+E14+E15+E16+E23+E27</f>
        <v>2282.593</v>
      </c>
      <c r="F8" s="76">
        <f>F9+F12+F13+F14+F15+F16+F23+F27</f>
        <v>6669.28</v>
      </c>
      <c r="G8" s="76">
        <f>G9+G12+G13+G14+G15+G16+G23+G27</f>
        <v>-4386.687</v>
      </c>
      <c r="H8" s="76">
        <f>H9+H12+H13+H14+H15+H16+H23+H27</f>
        <v>161451.313</v>
      </c>
      <c r="I8" s="87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</row>
    <row r="9" s="52" customFormat="1" ht="23.25" customHeight="1" spans="1:9">
      <c r="A9" s="73">
        <v>3</v>
      </c>
      <c r="B9" s="74"/>
      <c r="C9" s="78" t="s">
        <v>129</v>
      </c>
      <c r="D9" s="79">
        <f>SUM(D10:D11)</f>
        <v>43219</v>
      </c>
      <c r="E9" s="79">
        <f>SUM(E10:E11)</f>
        <v>406.04</v>
      </c>
      <c r="F9" s="79">
        <f>SUM(F10:F11)</f>
        <v>213</v>
      </c>
      <c r="G9" s="79">
        <f>SUM(G10:G11)</f>
        <v>193.04</v>
      </c>
      <c r="H9" s="79">
        <f>SUM(H10:H11)</f>
        <v>43412.04</v>
      </c>
      <c r="I9" s="89"/>
    </row>
    <row r="10" s="52" customFormat="1" ht="22.5" customHeight="1" spans="1:9">
      <c r="A10" s="73">
        <v>4</v>
      </c>
      <c r="B10" s="74"/>
      <c r="C10" s="80" t="s">
        <v>130</v>
      </c>
      <c r="D10" s="79">
        <v>9019</v>
      </c>
      <c r="E10" s="79">
        <v>84.56</v>
      </c>
      <c r="F10" s="79">
        <v>213</v>
      </c>
      <c r="G10" s="79">
        <f>E10-F10</f>
        <v>-128.44</v>
      </c>
      <c r="H10" s="79">
        <f t="shared" ref="H10:H41" si="1">D10+G10</f>
        <v>8890.56</v>
      </c>
      <c r="I10" s="89"/>
    </row>
    <row r="11" s="52" customFormat="1" ht="22.5" customHeight="1" spans="1:9">
      <c r="A11" s="73">
        <v>5</v>
      </c>
      <c r="B11" s="74"/>
      <c r="C11" s="80" t="s">
        <v>131</v>
      </c>
      <c r="D11" s="79">
        <v>34200</v>
      </c>
      <c r="E11" s="79">
        <f>134.48+187</f>
        <v>321.48</v>
      </c>
      <c r="F11" s="79"/>
      <c r="G11" s="79">
        <f t="shared" ref="G11:G42" si="2">E11-F11</f>
        <v>321.48</v>
      </c>
      <c r="H11" s="79">
        <f t="shared" si="1"/>
        <v>34521.48</v>
      </c>
      <c r="I11" s="89"/>
    </row>
    <row r="12" s="52" customFormat="1" ht="22.5" customHeight="1" spans="1:9">
      <c r="A12" s="73">
        <v>6</v>
      </c>
      <c r="B12" s="74"/>
      <c r="C12" s="78" t="s">
        <v>132</v>
      </c>
      <c r="D12" s="79">
        <v>35970</v>
      </c>
      <c r="E12" s="79">
        <f>172.88</f>
        <v>172.88</v>
      </c>
      <c r="F12" s="79">
        <v>299</v>
      </c>
      <c r="G12" s="79">
        <f t="shared" si="2"/>
        <v>-126.12</v>
      </c>
      <c r="H12" s="79">
        <f t="shared" si="1"/>
        <v>35843.88</v>
      </c>
      <c r="I12" s="89"/>
    </row>
    <row r="13" s="52" customFormat="1" ht="22.5" customHeight="1" spans="1:9">
      <c r="A13" s="73">
        <v>7</v>
      </c>
      <c r="B13" s="74"/>
      <c r="C13" s="78" t="s">
        <v>133</v>
      </c>
      <c r="D13" s="79">
        <v>1847</v>
      </c>
      <c r="E13" s="79">
        <v>10.75</v>
      </c>
      <c r="F13" s="79">
        <v>17</v>
      </c>
      <c r="G13" s="79">
        <f t="shared" si="2"/>
        <v>-6.25</v>
      </c>
      <c r="H13" s="79">
        <f t="shared" si="1"/>
        <v>1840.75</v>
      </c>
      <c r="I13" s="89"/>
    </row>
    <row r="14" s="52" customFormat="1" ht="22.5" customHeight="1" spans="1:9">
      <c r="A14" s="73">
        <v>8</v>
      </c>
      <c r="B14" s="74"/>
      <c r="C14" s="78" t="s">
        <v>134</v>
      </c>
      <c r="D14" s="79">
        <v>3872</v>
      </c>
      <c r="E14" s="79">
        <v>15.57</v>
      </c>
      <c r="F14" s="79">
        <v>191</v>
      </c>
      <c r="G14" s="79">
        <f t="shared" si="2"/>
        <v>-175.43</v>
      </c>
      <c r="H14" s="79">
        <f t="shared" si="1"/>
        <v>3696.57</v>
      </c>
      <c r="I14" s="89"/>
    </row>
    <row r="15" s="52" customFormat="1" ht="28.5" spans="1:9">
      <c r="A15" s="73">
        <v>9</v>
      </c>
      <c r="B15" s="74"/>
      <c r="C15" s="78" t="s">
        <v>135</v>
      </c>
      <c r="D15" s="79">
        <v>19928</v>
      </c>
      <c r="E15" s="79">
        <v>84.85</v>
      </c>
      <c r="F15" s="79">
        <v>258</v>
      </c>
      <c r="G15" s="79">
        <f t="shared" si="2"/>
        <v>-173.15</v>
      </c>
      <c r="H15" s="79">
        <f t="shared" si="1"/>
        <v>19754.85</v>
      </c>
      <c r="I15" s="89"/>
    </row>
    <row r="16" s="52" customFormat="1" ht="28.5" spans="1:9">
      <c r="A16" s="73">
        <v>10</v>
      </c>
      <c r="B16" s="74"/>
      <c r="C16" s="78" t="s">
        <v>136</v>
      </c>
      <c r="D16" s="79">
        <f>SUM(D17:D22)</f>
        <v>51757</v>
      </c>
      <c r="E16" s="79">
        <f>SUM(E17:E22)</f>
        <v>1587.073</v>
      </c>
      <c r="F16" s="79">
        <f>SUM(F17:F22)</f>
        <v>4503.28</v>
      </c>
      <c r="G16" s="79">
        <f>SUM(G17:G22)</f>
        <v>-2916.207</v>
      </c>
      <c r="H16" s="79">
        <f>SUM(H17:H22)</f>
        <v>48840.793</v>
      </c>
      <c r="I16" s="89"/>
    </row>
    <row r="17" s="52" customFormat="1" ht="37" customHeight="1" spans="1:9">
      <c r="A17" s="73">
        <v>11</v>
      </c>
      <c r="B17" s="74"/>
      <c r="C17" s="80" t="s">
        <v>137</v>
      </c>
      <c r="D17" s="79">
        <v>19111</v>
      </c>
      <c r="E17" s="79">
        <v>90.6</v>
      </c>
      <c r="F17" s="79">
        <f>3181-2.35</f>
        <v>3178.65</v>
      </c>
      <c r="G17" s="79">
        <f t="shared" si="2"/>
        <v>-3088.05</v>
      </c>
      <c r="H17" s="79">
        <f t="shared" si="1"/>
        <v>16022.95</v>
      </c>
      <c r="I17" s="90"/>
    </row>
    <row r="18" s="52" customFormat="1" ht="22.5" customHeight="1" spans="1:9">
      <c r="A18" s="73">
        <v>12</v>
      </c>
      <c r="B18" s="74"/>
      <c r="C18" s="80" t="s">
        <v>138</v>
      </c>
      <c r="D18" s="79">
        <v>16349</v>
      </c>
      <c r="E18" s="79">
        <v>4.12</v>
      </c>
      <c r="F18" s="79">
        <f>1261-2.37</f>
        <v>1258.63</v>
      </c>
      <c r="G18" s="79">
        <f t="shared" si="2"/>
        <v>-1254.51</v>
      </c>
      <c r="H18" s="79">
        <f t="shared" si="1"/>
        <v>15094.49</v>
      </c>
      <c r="I18" s="89"/>
    </row>
    <row r="19" s="52" customFormat="1" ht="22.5" customHeight="1" spans="1:9">
      <c r="A19" s="73">
        <v>13</v>
      </c>
      <c r="B19" s="74"/>
      <c r="C19" s="80" t="s">
        <v>139</v>
      </c>
      <c r="D19" s="79">
        <v>212</v>
      </c>
      <c r="E19" s="79">
        <v>0.023</v>
      </c>
      <c r="F19" s="79">
        <v>2</v>
      </c>
      <c r="G19" s="79">
        <f t="shared" si="2"/>
        <v>-1.977</v>
      </c>
      <c r="H19" s="79">
        <f t="shared" si="1"/>
        <v>210.023</v>
      </c>
      <c r="I19" s="89"/>
    </row>
    <row r="20" s="52" customFormat="1" ht="22.5" customHeight="1" spans="1:9">
      <c r="A20" s="73">
        <v>14</v>
      </c>
      <c r="B20" s="74"/>
      <c r="C20" s="80" t="s">
        <v>140</v>
      </c>
      <c r="D20" s="79">
        <v>619</v>
      </c>
      <c r="E20" s="79">
        <v>0.41</v>
      </c>
      <c r="F20" s="79">
        <v>64</v>
      </c>
      <c r="G20" s="79">
        <f t="shared" si="2"/>
        <v>-63.59</v>
      </c>
      <c r="H20" s="79">
        <f t="shared" si="1"/>
        <v>555.41</v>
      </c>
      <c r="I20" s="89"/>
    </row>
    <row r="21" s="52" customFormat="1" ht="22.5" customHeight="1" spans="1:9">
      <c r="A21" s="73">
        <v>15</v>
      </c>
      <c r="B21" s="74"/>
      <c r="C21" s="80" t="s">
        <v>141</v>
      </c>
      <c r="D21" s="79">
        <v>13019</v>
      </c>
      <c r="E21" s="79">
        <f>602+2.25</f>
        <v>604.25</v>
      </c>
      <c r="F21" s="79"/>
      <c r="G21" s="79">
        <f t="shared" si="2"/>
        <v>604.25</v>
      </c>
      <c r="H21" s="79">
        <f t="shared" si="1"/>
        <v>13623.25</v>
      </c>
      <c r="I21" s="89"/>
    </row>
    <row r="22" s="52" customFormat="1" ht="22.5" customHeight="1" spans="1:9">
      <c r="A22" s="73">
        <v>16</v>
      </c>
      <c r="B22" s="74"/>
      <c r="C22" s="80" t="s">
        <v>142</v>
      </c>
      <c r="D22" s="79">
        <v>2447</v>
      </c>
      <c r="E22" s="79">
        <f>673.67+214</f>
        <v>887.67</v>
      </c>
      <c r="F22" s="79"/>
      <c r="G22" s="79">
        <f t="shared" si="2"/>
        <v>887.67</v>
      </c>
      <c r="H22" s="79">
        <f t="shared" si="1"/>
        <v>3334.67</v>
      </c>
      <c r="I22" s="89"/>
    </row>
    <row r="23" s="52" customFormat="1" ht="22.5" customHeight="1" spans="1:9">
      <c r="A23" s="73">
        <v>17</v>
      </c>
      <c r="B23" s="74"/>
      <c r="C23" s="78" t="s">
        <v>143</v>
      </c>
      <c r="D23" s="79">
        <f>SUM(D24:D26)</f>
        <v>114</v>
      </c>
      <c r="E23" s="79">
        <f>SUM(E24:E26)</f>
        <v>0</v>
      </c>
      <c r="F23" s="79">
        <f>SUM(F24:F26)</f>
        <v>9</v>
      </c>
      <c r="G23" s="79">
        <f>SUM(G24:G26)</f>
        <v>-9</v>
      </c>
      <c r="H23" s="79">
        <f>SUM(H24:H26)</f>
        <v>105</v>
      </c>
      <c r="I23" s="89"/>
    </row>
    <row r="24" s="52" customFormat="1" ht="22.5" customHeight="1" spans="1:9">
      <c r="A24" s="73">
        <v>18</v>
      </c>
      <c r="B24" s="74"/>
      <c r="C24" s="80" t="s">
        <v>144</v>
      </c>
      <c r="D24" s="79">
        <v>81</v>
      </c>
      <c r="E24" s="79"/>
      <c r="F24" s="79">
        <v>9</v>
      </c>
      <c r="G24" s="79">
        <f t="shared" si="2"/>
        <v>-9</v>
      </c>
      <c r="H24" s="79">
        <f t="shared" si="1"/>
        <v>72</v>
      </c>
      <c r="I24" s="89"/>
    </row>
    <row r="25" s="52" customFormat="1" ht="22.5" customHeight="1" spans="1:9">
      <c r="A25" s="73">
        <v>19</v>
      </c>
      <c r="B25" s="74"/>
      <c r="C25" s="80" t="s">
        <v>145</v>
      </c>
      <c r="D25" s="79">
        <v>33</v>
      </c>
      <c r="E25" s="79"/>
      <c r="F25" s="79"/>
      <c r="G25" s="79">
        <f t="shared" si="2"/>
        <v>0</v>
      </c>
      <c r="H25" s="79">
        <f t="shared" si="1"/>
        <v>33</v>
      </c>
      <c r="I25" s="89"/>
    </row>
    <row r="26" s="52" customFormat="1" ht="22.5" customHeight="1" spans="1:9">
      <c r="A26" s="73">
        <v>20</v>
      </c>
      <c r="B26" s="74"/>
      <c r="C26" s="80" t="s">
        <v>146</v>
      </c>
      <c r="D26" s="79">
        <v>0</v>
      </c>
      <c r="E26" s="79"/>
      <c r="F26" s="79"/>
      <c r="G26" s="79">
        <f t="shared" si="2"/>
        <v>0</v>
      </c>
      <c r="H26" s="79">
        <f t="shared" si="1"/>
        <v>0</v>
      </c>
      <c r="I26" s="89"/>
    </row>
    <row r="27" s="52" customFormat="1" ht="22.5" customHeight="1" spans="1:9">
      <c r="A27" s="73">
        <v>21</v>
      </c>
      <c r="B27" s="74"/>
      <c r="C27" s="78" t="s">
        <v>147</v>
      </c>
      <c r="D27" s="79">
        <v>9131</v>
      </c>
      <c r="E27" s="79">
        <v>5.43</v>
      </c>
      <c r="F27" s="79">
        <v>1179</v>
      </c>
      <c r="G27" s="79">
        <f t="shared" si="2"/>
        <v>-1173.57</v>
      </c>
      <c r="H27" s="79">
        <f t="shared" si="1"/>
        <v>7957.43</v>
      </c>
      <c r="I27" s="89"/>
    </row>
    <row r="28" s="53" customFormat="1" ht="22.5" customHeight="1" spans="1:230">
      <c r="A28" s="73">
        <v>22</v>
      </c>
      <c r="B28" s="74"/>
      <c r="C28" s="81" t="s">
        <v>148</v>
      </c>
      <c r="D28" s="76">
        <f>SUM(D29:D31,D35,D38,D43)</f>
        <v>3849</v>
      </c>
      <c r="E28" s="76">
        <f>SUM(E29:E31,E35,E38,E43)</f>
        <v>31.06</v>
      </c>
      <c r="F28" s="76">
        <f>SUM(F29:F31,F35,F38,F43)</f>
        <v>1282</v>
      </c>
      <c r="G28" s="76">
        <f>SUM(G29:G31,G35,G38,G43)</f>
        <v>-1250.94</v>
      </c>
      <c r="H28" s="76">
        <f>SUM(H29:H31,H35,H38,H43)</f>
        <v>2598.06</v>
      </c>
      <c r="I28" s="87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</row>
    <row r="29" s="52" customFormat="1" ht="28.5" spans="1:9">
      <c r="A29" s="73">
        <v>23</v>
      </c>
      <c r="B29" s="74"/>
      <c r="C29" s="78" t="s">
        <v>149</v>
      </c>
      <c r="D29" s="79">
        <v>1030</v>
      </c>
      <c r="E29" s="79">
        <v>30</v>
      </c>
      <c r="F29" s="79"/>
      <c r="G29" s="79">
        <f t="shared" si="2"/>
        <v>30</v>
      </c>
      <c r="H29" s="79">
        <f t="shared" si="1"/>
        <v>1060</v>
      </c>
      <c r="I29" s="89"/>
    </row>
    <row r="30" s="52" customFormat="1" ht="36" customHeight="1" spans="1:9">
      <c r="A30" s="73">
        <v>24</v>
      </c>
      <c r="B30" s="74"/>
      <c r="C30" s="78" t="s">
        <v>150</v>
      </c>
      <c r="D30" s="79">
        <v>1722</v>
      </c>
      <c r="E30" s="79"/>
      <c r="F30" s="79">
        <v>1282</v>
      </c>
      <c r="G30" s="79">
        <f t="shared" si="2"/>
        <v>-1282</v>
      </c>
      <c r="H30" s="79">
        <f t="shared" si="1"/>
        <v>440</v>
      </c>
      <c r="I30" s="90"/>
    </row>
    <row r="31" s="52" customFormat="1" ht="22.5" customHeight="1" spans="1:9">
      <c r="A31" s="73">
        <v>25</v>
      </c>
      <c r="B31" s="74"/>
      <c r="C31" s="78" t="s">
        <v>151</v>
      </c>
      <c r="D31" s="79">
        <f>SUM(D32:D34)</f>
        <v>215</v>
      </c>
      <c r="E31" s="79">
        <f>SUM(E32:E34)</f>
        <v>1.03</v>
      </c>
      <c r="F31" s="79">
        <f>SUM(F32:F34)</f>
        <v>0</v>
      </c>
      <c r="G31" s="79">
        <f>SUM(G32:G34)</f>
        <v>1.03</v>
      </c>
      <c r="H31" s="79">
        <f>SUM(H32:H34)</f>
        <v>216.03</v>
      </c>
      <c r="I31" s="79"/>
    </row>
    <row r="32" s="52" customFormat="1" ht="22.5" customHeight="1" spans="1:9">
      <c r="A32" s="73">
        <v>26</v>
      </c>
      <c r="B32" s="74"/>
      <c r="C32" s="80" t="s">
        <v>152</v>
      </c>
      <c r="D32" s="79">
        <v>144</v>
      </c>
      <c r="E32" s="79"/>
      <c r="F32" s="79"/>
      <c r="G32" s="79">
        <f t="shared" si="2"/>
        <v>0</v>
      </c>
      <c r="H32" s="79">
        <f t="shared" si="1"/>
        <v>144</v>
      </c>
      <c r="I32" s="89"/>
    </row>
    <row r="33" s="52" customFormat="1" ht="22.5" customHeight="1" spans="1:9">
      <c r="A33" s="73">
        <v>27</v>
      </c>
      <c r="B33" s="74"/>
      <c r="C33" s="80" t="s">
        <v>153</v>
      </c>
      <c r="D33" s="79">
        <v>26</v>
      </c>
      <c r="E33" s="79">
        <v>0.03</v>
      </c>
      <c r="F33" s="79"/>
      <c r="G33" s="79">
        <f t="shared" si="2"/>
        <v>0.03</v>
      </c>
      <c r="H33" s="79">
        <f t="shared" si="1"/>
        <v>26.03</v>
      </c>
      <c r="I33" s="89"/>
    </row>
    <row r="34" s="52" customFormat="1" ht="22.5" customHeight="1" spans="1:9">
      <c r="A34" s="73">
        <v>28</v>
      </c>
      <c r="B34" s="74"/>
      <c r="C34" s="80" t="s">
        <v>154</v>
      </c>
      <c r="D34" s="79">
        <v>45</v>
      </c>
      <c r="E34" s="79">
        <v>1</v>
      </c>
      <c r="F34" s="79"/>
      <c r="G34" s="79">
        <f t="shared" si="2"/>
        <v>1</v>
      </c>
      <c r="H34" s="79">
        <f t="shared" si="1"/>
        <v>46</v>
      </c>
      <c r="I34" s="89"/>
    </row>
    <row r="35" s="52" customFormat="1" ht="22.5" customHeight="1" spans="1:9">
      <c r="A35" s="73">
        <v>29</v>
      </c>
      <c r="B35" s="74"/>
      <c r="C35" s="78" t="s">
        <v>155</v>
      </c>
      <c r="D35" s="79">
        <f>SUM(D36:D37)</f>
        <v>30</v>
      </c>
      <c r="E35" s="79">
        <f>SUM(E36:E37)</f>
        <v>0.03</v>
      </c>
      <c r="F35" s="79">
        <f>SUM(F36:F37)</f>
        <v>0</v>
      </c>
      <c r="G35" s="79">
        <f>SUM(G36:G37)</f>
        <v>0.03</v>
      </c>
      <c r="H35" s="79">
        <f>SUM(H36:H37)</f>
        <v>30.03</v>
      </c>
      <c r="I35" s="89"/>
    </row>
    <row r="36" s="52" customFormat="1" ht="22.5" customHeight="1" spans="1:9">
      <c r="A36" s="73">
        <v>30</v>
      </c>
      <c r="B36" s="74"/>
      <c r="C36" s="80" t="s">
        <v>156</v>
      </c>
      <c r="D36" s="79">
        <v>1</v>
      </c>
      <c r="E36" s="79"/>
      <c r="F36" s="79"/>
      <c r="G36" s="79">
        <f t="shared" si="2"/>
        <v>0</v>
      </c>
      <c r="H36" s="79">
        <f t="shared" si="1"/>
        <v>1</v>
      </c>
      <c r="I36" s="89"/>
    </row>
    <row r="37" s="52" customFormat="1" ht="22.5" customHeight="1" spans="1:9">
      <c r="A37" s="73">
        <v>31</v>
      </c>
      <c r="B37" s="74"/>
      <c r="C37" s="80" t="s">
        <v>157</v>
      </c>
      <c r="D37" s="79">
        <v>29</v>
      </c>
      <c r="E37" s="79">
        <v>0.03</v>
      </c>
      <c r="F37" s="79"/>
      <c r="G37" s="79">
        <f t="shared" si="2"/>
        <v>0.03</v>
      </c>
      <c r="H37" s="79">
        <f t="shared" si="1"/>
        <v>29.03</v>
      </c>
      <c r="I37" s="89"/>
    </row>
    <row r="38" s="52" customFormat="1" ht="22.5" customHeight="1" spans="1:9">
      <c r="A38" s="73">
        <v>32</v>
      </c>
      <c r="B38" s="74"/>
      <c r="C38" s="78" t="s">
        <v>158</v>
      </c>
      <c r="D38" s="79">
        <f>SUM(D39:D42)</f>
        <v>364</v>
      </c>
      <c r="E38" s="79">
        <f>SUM(E39:E42)</f>
        <v>0</v>
      </c>
      <c r="F38" s="79">
        <f>SUM(F39:F42)</f>
        <v>0</v>
      </c>
      <c r="G38" s="79">
        <f>SUM(G39:G42)</f>
        <v>0</v>
      </c>
      <c r="H38" s="79">
        <f>SUM(H39:H42)</f>
        <v>364</v>
      </c>
      <c r="I38" s="89"/>
    </row>
    <row r="39" s="52" customFormat="1" ht="22.5" customHeight="1" spans="1:9">
      <c r="A39" s="73">
        <v>33</v>
      </c>
      <c r="B39" s="74"/>
      <c r="C39" s="80" t="s">
        <v>159</v>
      </c>
      <c r="D39" s="79">
        <v>112</v>
      </c>
      <c r="E39" s="79"/>
      <c r="F39" s="79"/>
      <c r="G39" s="79">
        <f t="shared" si="2"/>
        <v>0</v>
      </c>
      <c r="H39" s="79">
        <f t="shared" si="1"/>
        <v>112</v>
      </c>
      <c r="I39" s="89"/>
    </row>
    <row r="40" s="52" customFormat="1" ht="22.5" customHeight="1" spans="1:9">
      <c r="A40" s="73">
        <v>34</v>
      </c>
      <c r="B40" s="74"/>
      <c r="C40" s="80" t="s">
        <v>160</v>
      </c>
      <c r="D40" s="79">
        <v>232</v>
      </c>
      <c r="E40" s="79"/>
      <c r="F40" s="79"/>
      <c r="G40" s="79">
        <f t="shared" si="2"/>
        <v>0</v>
      </c>
      <c r="H40" s="79">
        <f t="shared" si="1"/>
        <v>232</v>
      </c>
      <c r="I40" s="89"/>
    </row>
    <row r="41" s="52" customFormat="1" ht="22.5" customHeight="1" spans="1:9">
      <c r="A41" s="73">
        <v>35</v>
      </c>
      <c r="B41" s="74"/>
      <c r="C41" s="80" t="s">
        <v>161</v>
      </c>
      <c r="D41" s="79">
        <v>0</v>
      </c>
      <c r="E41" s="79"/>
      <c r="F41" s="79"/>
      <c r="G41" s="79">
        <f t="shared" si="2"/>
        <v>0</v>
      </c>
      <c r="H41" s="79">
        <f t="shared" si="1"/>
        <v>0</v>
      </c>
      <c r="I41" s="89"/>
    </row>
    <row r="42" s="52" customFormat="1" ht="22.5" customHeight="1" spans="1:9">
      <c r="A42" s="73">
        <v>36</v>
      </c>
      <c r="B42" s="74"/>
      <c r="C42" s="80" t="s">
        <v>162</v>
      </c>
      <c r="D42" s="79">
        <v>20</v>
      </c>
      <c r="E42" s="79"/>
      <c r="F42" s="79"/>
      <c r="G42" s="79">
        <f t="shared" si="2"/>
        <v>0</v>
      </c>
      <c r="H42" s="79">
        <f t="shared" ref="H42:H73" si="3">D42+G42</f>
        <v>20</v>
      </c>
      <c r="I42" s="89"/>
    </row>
    <row r="43" s="52" customFormat="1" ht="22.5" customHeight="1" spans="1:9">
      <c r="A43" s="73">
        <v>37</v>
      </c>
      <c r="B43" s="74"/>
      <c r="C43" s="78" t="s">
        <v>163</v>
      </c>
      <c r="D43" s="79">
        <v>488</v>
      </c>
      <c r="E43" s="79"/>
      <c r="F43" s="79"/>
      <c r="G43" s="79">
        <f t="shared" ref="G43:G74" si="4">E43-F43</f>
        <v>0</v>
      </c>
      <c r="H43" s="79">
        <f t="shared" si="3"/>
        <v>488</v>
      </c>
      <c r="I43" s="89"/>
    </row>
    <row r="44" s="53" customFormat="1" ht="22.5" customHeight="1" spans="1:230">
      <c r="A44" s="73">
        <v>38</v>
      </c>
      <c r="B44" s="74" t="s">
        <v>126</v>
      </c>
      <c r="C44" s="81" t="s">
        <v>164</v>
      </c>
      <c r="D44" s="79">
        <f>SUM(D45,D46,D49,D50,D51,D54,D57,D60,D61,D62,D70,D73,D74,D75,D76,D77,D78,D79,D80,D85,D86,D87,D90,D91,D92,D97,D102,D103,D104,D105,D106,D107,D108,D111,D112,D113,D114,D115,D116)</f>
        <v>60352</v>
      </c>
      <c r="E44" s="79">
        <f>SUM(E45,E46,E49,E50,E51,E54,E57,E60,E61,E62,E70,E73,E74,E75,E76,E77,E78,E79,E80,E85,E86,E87,E90,E91,E92,E97,E102,E103,E104,E105,E106,E107,E108,E111,E112,E113,E114,E115,E116)</f>
        <v>9662.18</v>
      </c>
      <c r="F44" s="79">
        <f>SUM(F45,F46,F49,F50,F51,F54,F57,F60,F61,F62,F70,F73,F74,F75,F76,F77,F78,F79,F80,F85,F86,F87,F90,F91,F92,F97,F102,F103,F104,F105,F106,F107,F108,F111,F112,F113,F114,F115,F116)</f>
        <v>8429</v>
      </c>
      <c r="G44" s="79">
        <f>SUM(G45,G46,G49,G50,G51,G54,G57,G60,G61,G62,G70,G73,G74,G75,G76,G77,G78,G79,G80,G85,G86,G87,G90,G91,G92,G97,G102,G103,G104,G105,G106,G107,G108,G111,G112,G113,G114,G115,G116)</f>
        <v>1233.18</v>
      </c>
      <c r="H44" s="79">
        <f>SUM(H45,H46,H49,H50,H51,H54,H57,H60,H61,H62,H70,H73,H74,H75,H76,H77,H78,H79,H80,H85,H86,H87,H90,H91,H92,H97,H102,H103,H104,H105,H106,H107,H108,H111,H112,H113,H114,H115,H116)</f>
        <v>61585.18</v>
      </c>
      <c r="I44" s="87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</row>
    <row r="45" s="52" customFormat="1" ht="22.5" customHeight="1" spans="1:9">
      <c r="A45" s="73">
        <v>39</v>
      </c>
      <c r="B45" s="74"/>
      <c r="C45" s="78" t="s">
        <v>165</v>
      </c>
      <c r="D45" s="79">
        <v>270</v>
      </c>
      <c r="E45" s="79"/>
      <c r="F45" s="79">
        <v>11</v>
      </c>
      <c r="G45" s="79">
        <f t="shared" si="4"/>
        <v>-11</v>
      </c>
      <c r="H45" s="79">
        <f t="shared" si="3"/>
        <v>259</v>
      </c>
      <c r="I45" s="89"/>
    </row>
    <row r="46" s="52" customFormat="1" ht="22.5" customHeight="1" spans="1:9">
      <c r="A46" s="73">
        <v>40</v>
      </c>
      <c r="B46" s="74"/>
      <c r="C46" s="78" t="s">
        <v>166</v>
      </c>
      <c r="D46" s="79">
        <f>SUM(D47:D48)</f>
        <v>4034</v>
      </c>
      <c r="E46" s="79">
        <f>SUM(E47:E48)</f>
        <v>3485</v>
      </c>
      <c r="F46" s="79">
        <f>SUM(F47:F48)</f>
        <v>0</v>
      </c>
      <c r="G46" s="79">
        <f>SUM(G47:G48)</f>
        <v>3485</v>
      </c>
      <c r="H46" s="79">
        <f>SUM(H47:H48)</f>
        <v>7519</v>
      </c>
      <c r="I46" s="89"/>
    </row>
    <row r="47" s="52" customFormat="1" ht="28" customHeight="1" spans="1:9">
      <c r="A47" s="73">
        <v>41</v>
      </c>
      <c r="B47" s="74"/>
      <c r="C47" s="80" t="s">
        <v>167</v>
      </c>
      <c r="D47" s="79">
        <v>2573</v>
      </c>
      <c r="E47" s="79">
        <v>2222</v>
      </c>
      <c r="F47" s="79"/>
      <c r="G47" s="79">
        <f t="shared" si="4"/>
        <v>2222</v>
      </c>
      <c r="H47" s="79">
        <f t="shared" si="3"/>
        <v>4795</v>
      </c>
      <c r="I47" s="90"/>
    </row>
    <row r="48" s="52" customFormat="1" ht="28" customHeight="1" spans="1:9">
      <c r="A48" s="73">
        <v>42</v>
      </c>
      <c r="B48" s="74"/>
      <c r="C48" s="80" t="s">
        <v>168</v>
      </c>
      <c r="D48" s="79">
        <v>1461</v>
      </c>
      <c r="E48" s="79">
        <v>1263</v>
      </c>
      <c r="F48" s="79"/>
      <c r="G48" s="79">
        <f t="shared" si="4"/>
        <v>1263</v>
      </c>
      <c r="H48" s="79">
        <f t="shared" si="3"/>
        <v>2724</v>
      </c>
      <c r="I48" s="90"/>
    </row>
    <row r="49" s="54" customFormat="1" ht="39" customHeight="1" spans="1:9">
      <c r="A49" s="73">
        <v>43</v>
      </c>
      <c r="B49" s="74"/>
      <c r="C49" s="78" t="s">
        <v>169</v>
      </c>
      <c r="D49" s="79">
        <v>245</v>
      </c>
      <c r="E49" s="79">
        <v>14</v>
      </c>
      <c r="F49" s="79"/>
      <c r="G49" s="79">
        <f t="shared" si="4"/>
        <v>14</v>
      </c>
      <c r="H49" s="79">
        <f t="shared" si="3"/>
        <v>259</v>
      </c>
      <c r="I49" s="89"/>
    </row>
    <row r="50" s="54" customFormat="1" ht="22.5" customHeight="1" spans="1:9">
      <c r="A50" s="73">
        <v>44</v>
      </c>
      <c r="B50" s="74"/>
      <c r="C50" s="78" t="s">
        <v>170</v>
      </c>
      <c r="D50" s="79">
        <v>1</v>
      </c>
      <c r="E50" s="79">
        <v>0</v>
      </c>
      <c r="F50" s="79">
        <v>1</v>
      </c>
      <c r="G50" s="79">
        <f t="shared" si="4"/>
        <v>-1</v>
      </c>
      <c r="H50" s="79">
        <f t="shared" si="3"/>
        <v>0</v>
      </c>
      <c r="I50" s="91"/>
    </row>
    <row r="51" s="52" customFormat="1" ht="35" customHeight="1" spans="1:9">
      <c r="A51" s="73">
        <v>45</v>
      </c>
      <c r="B51" s="74"/>
      <c r="C51" s="78" t="s">
        <v>171</v>
      </c>
      <c r="D51" s="79">
        <f>SUM(D52:D53)</f>
        <v>2042</v>
      </c>
      <c r="E51" s="79">
        <f>SUM(E52:E53)</f>
        <v>0</v>
      </c>
      <c r="F51" s="79">
        <f>SUM(F52:F53)</f>
        <v>142</v>
      </c>
      <c r="G51" s="79">
        <f>SUM(G52:G53)</f>
        <v>-142</v>
      </c>
      <c r="H51" s="79">
        <f>SUM(H52:H53)</f>
        <v>1900</v>
      </c>
      <c r="I51" s="89"/>
    </row>
    <row r="52" s="52" customFormat="1" ht="36" customHeight="1" spans="1:9">
      <c r="A52" s="73">
        <v>46</v>
      </c>
      <c r="B52" s="74"/>
      <c r="C52" s="80" t="s">
        <v>167</v>
      </c>
      <c r="D52" s="79">
        <v>1025</v>
      </c>
      <c r="E52" s="79"/>
      <c r="F52" s="79">
        <v>100</v>
      </c>
      <c r="G52" s="79">
        <f t="shared" si="4"/>
        <v>-100</v>
      </c>
      <c r="H52" s="79">
        <f t="shared" si="3"/>
        <v>925</v>
      </c>
      <c r="I52" s="90"/>
    </row>
    <row r="53" s="52" customFormat="1" ht="36" customHeight="1" spans="1:9">
      <c r="A53" s="73">
        <v>47</v>
      </c>
      <c r="B53" s="74"/>
      <c r="C53" s="80" t="s">
        <v>168</v>
      </c>
      <c r="D53" s="79">
        <v>1017</v>
      </c>
      <c r="E53" s="79"/>
      <c r="F53" s="79">
        <v>42</v>
      </c>
      <c r="G53" s="79">
        <f t="shared" si="4"/>
        <v>-42</v>
      </c>
      <c r="H53" s="79">
        <f t="shared" si="3"/>
        <v>975</v>
      </c>
      <c r="I53" s="90"/>
    </row>
    <row r="54" s="52" customFormat="1" ht="22.5" customHeight="1" spans="1:9">
      <c r="A54" s="73">
        <v>48</v>
      </c>
      <c r="B54" s="74"/>
      <c r="C54" s="78" t="s">
        <v>172</v>
      </c>
      <c r="D54" s="79">
        <f>SUM(D55:D56)</f>
        <v>720</v>
      </c>
      <c r="E54" s="79">
        <f>SUM(E55:E56)</f>
        <v>159</v>
      </c>
      <c r="F54" s="79">
        <f>SUM(F55:F56)</f>
        <v>431</v>
      </c>
      <c r="G54" s="79">
        <f>SUM(G55:G56)</f>
        <v>-272</v>
      </c>
      <c r="H54" s="79">
        <f>SUM(H55:H56)</f>
        <v>448</v>
      </c>
      <c r="I54" s="89"/>
    </row>
    <row r="55" s="52" customFormat="1" ht="44" customHeight="1" spans="1:9">
      <c r="A55" s="73">
        <v>49</v>
      </c>
      <c r="B55" s="74"/>
      <c r="C55" s="80" t="s">
        <v>173</v>
      </c>
      <c r="D55" s="79">
        <v>575</v>
      </c>
      <c r="E55" s="79"/>
      <c r="F55" s="79">
        <v>431</v>
      </c>
      <c r="G55" s="79">
        <f t="shared" si="4"/>
        <v>-431</v>
      </c>
      <c r="H55" s="79">
        <f t="shared" si="3"/>
        <v>144</v>
      </c>
      <c r="I55" s="90"/>
    </row>
    <row r="56" s="52" customFormat="1" ht="22.5" customHeight="1" spans="1:9">
      <c r="A56" s="73">
        <v>50</v>
      </c>
      <c r="B56" s="74"/>
      <c r="C56" s="80" t="s">
        <v>174</v>
      </c>
      <c r="D56" s="79">
        <v>145</v>
      </c>
      <c r="E56" s="79">
        <v>159</v>
      </c>
      <c r="F56" s="79"/>
      <c r="G56" s="79">
        <f t="shared" si="4"/>
        <v>159</v>
      </c>
      <c r="H56" s="79">
        <f t="shared" si="3"/>
        <v>304</v>
      </c>
      <c r="I56" s="89"/>
    </row>
    <row r="57" s="52" customFormat="1" ht="22.5" customHeight="1" spans="1:9">
      <c r="A57" s="73">
        <v>51</v>
      </c>
      <c r="B57" s="74"/>
      <c r="C57" s="78" t="s">
        <v>175</v>
      </c>
      <c r="D57" s="79">
        <f>SUM(D58:D59)</f>
        <v>1000</v>
      </c>
      <c r="E57" s="79">
        <f>SUM(E58:E59)</f>
        <v>0</v>
      </c>
      <c r="F57" s="79">
        <f>SUM(F58:F59)</f>
        <v>423</v>
      </c>
      <c r="G57" s="79">
        <f>SUM(G58:G59)</f>
        <v>-423</v>
      </c>
      <c r="H57" s="79">
        <f>SUM(H58:H59)</f>
        <v>577</v>
      </c>
      <c r="I57" s="89"/>
    </row>
    <row r="58" s="52" customFormat="1" ht="36" customHeight="1" spans="1:9">
      <c r="A58" s="73">
        <v>52</v>
      </c>
      <c r="B58" s="74"/>
      <c r="C58" s="80" t="s">
        <v>173</v>
      </c>
      <c r="D58" s="79">
        <v>400</v>
      </c>
      <c r="E58" s="79"/>
      <c r="F58" s="79">
        <v>379</v>
      </c>
      <c r="G58" s="79">
        <f t="shared" si="4"/>
        <v>-379</v>
      </c>
      <c r="H58" s="79">
        <f t="shared" si="3"/>
        <v>21</v>
      </c>
      <c r="I58" s="90"/>
    </row>
    <row r="59" s="52" customFormat="1" ht="22.5" customHeight="1" spans="1:9">
      <c r="A59" s="73">
        <v>53</v>
      </c>
      <c r="B59" s="74"/>
      <c r="C59" s="80" t="s">
        <v>176</v>
      </c>
      <c r="D59" s="79">
        <v>600</v>
      </c>
      <c r="E59" s="79"/>
      <c r="F59" s="79">
        <v>44</v>
      </c>
      <c r="G59" s="79">
        <f t="shared" si="4"/>
        <v>-44</v>
      </c>
      <c r="H59" s="79">
        <f t="shared" si="3"/>
        <v>556</v>
      </c>
      <c r="I59" s="89"/>
    </row>
    <row r="60" s="52" customFormat="1" ht="22.5" customHeight="1" spans="1:9">
      <c r="A60" s="73">
        <v>54</v>
      </c>
      <c r="B60" s="74"/>
      <c r="C60" s="78" t="s">
        <v>177</v>
      </c>
      <c r="D60" s="79">
        <v>3600</v>
      </c>
      <c r="E60" s="79">
        <v>250</v>
      </c>
      <c r="F60" s="79">
        <v>0</v>
      </c>
      <c r="G60" s="79">
        <f t="shared" si="4"/>
        <v>250</v>
      </c>
      <c r="H60" s="79">
        <f t="shared" si="3"/>
        <v>3850</v>
      </c>
      <c r="I60" s="89"/>
    </row>
    <row r="61" s="52" customFormat="1" ht="39" customHeight="1" spans="1:9">
      <c r="A61" s="73">
        <v>55</v>
      </c>
      <c r="B61" s="74"/>
      <c r="C61" s="78" t="s">
        <v>178</v>
      </c>
      <c r="D61" s="82">
        <v>175</v>
      </c>
      <c r="E61" s="82">
        <v>227</v>
      </c>
      <c r="F61" s="82"/>
      <c r="G61" s="79">
        <f t="shared" si="4"/>
        <v>227</v>
      </c>
      <c r="H61" s="79">
        <f t="shared" si="3"/>
        <v>402</v>
      </c>
      <c r="I61" s="89"/>
    </row>
    <row r="62" s="52" customFormat="1" ht="22.5" customHeight="1" spans="1:9">
      <c r="A62" s="73">
        <v>56</v>
      </c>
      <c r="B62" s="74"/>
      <c r="C62" s="78" t="s">
        <v>179</v>
      </c>
      <c r="D62" s="82">
        <f>D63+D66+D67+D68+D69</f>
        <v>11027</v>
      </c>
      <c r="E62" s="82">
        <f>E63+E66+E67+E68+E69</f>
        <v>3278</v>
      </c>
      <c r="F62" s="82">
        <f>F63+F66+F67+F68+F69</f>
        <v>1903</v>
      </c>
      <c r="G62" s="82">
        <f>G63+G66+G67+G68+G69</f>
        <v>1375</v>
      </c>
      <c r="H62" s="82">
        <f>H63+H66+H67+H68+H69</f>
        <v>12402</v>
      </c>
      <c r="I62" s="89"/>
    </row>
    <row r="63" s="52" customFormat="1" ht="22.5" customHeight="1" spans="1:9">
      <c r="A63" s="73">
        <v>57</v>
      </c>
      <c r="B63" s="74"/>
      <c r="C63" s="80" t="s">
        <v>180</v>
      </c>
      <c r="D63" s="82">
        <f>SUM(D64:D65)</f>
        <v>6774</v>
      </c>
      <c r="E63" s="82">
        <f>SUM(E64:E65)</f>
        <v>1328</v>
      </c>
      <c r="F63" s="82">
        <f>SUM(F64:F65)</f>
        <v>224</v>
      </c>
      <c r="G63" s="82">
        <f>SUM(G64:G65)</f>
        <v>1104</v>
      </c>
      <c r="H63" s="82">
        <f>SUM(H64:H65)</f>
        <v>7878</v>
      </c>
      <c r="I63" s="89"/>
    </row>
    <row r="64" s="52" customFormat="1" ht="22.5" customHeight="1" spans="1:9">
      <c r="A64" s="73">
        <v>58</v>
      </c>
      <c r="B64" s="74"/>
      <c r="C64" s="83" t="s">
        <v>181</v>
      </c>
      <c r="D64" s="82">
        <v>5135</v>
      </c>
      <c r="E64" s="82"/>
      <c r="F64" s="82">
        <v>224</v>
      </c>
      <c r="G64" s="79">
        <f t="shared" si="4"/>
        <v>-224</v>
      </c>
      <c r="H64" s="79">
        <f t="shared" si="3"/>
        <v>4911</v>
      </c>
      <c r="I64" s="89"/>
    </row>
    <row r="65" s="52" customFormat="1" ht="22.5" customHeight="1" spans="1:9">
      <c r="A65" s="73">
        <v>59</v>
      </c>
      <c r="B65" s="74"/>
      <c r="C65" s="83" t="s">
        <v>182</v>
      </c>
      <c r="D65" s="82">
        <v>1639</v>
      </c>
      <c r="E65" s="82">
        <v>1328</v>
      </c>
      <c r="F65" s="82"/>
      <c r="G65" s="79">
        <f t="shared" si="4"/>
        <v>1328</v>
      </c>
      <c r="H65" s="79">
        <f t="shared" si="3"/>
        <v>2967</v>
      </c>
      <c r="I65" s="89"/>
    </row>
    <row r="66" s="52" customFormat="1" ht="22.5" customHeight="1" spans="1:9">
      <c r="A66" s="73">
        <v>60</v>
      </c>
      <c r="B66" s="74"/>
      <c r="C66" s="80" t="s">
        <v>183</v>
      </c>
      <c r="D66" s="82">
        <v>2180</v>
      </c>
      <c r="E66" s="82">
        <v>1950</v>
      </c>
      <c r="F66" s="82"/>
      <c r="G66" s="79">
        <f t="shared" si="4"/>
        <v>1950</v>
      </c>
      <c r="H66" s="79">
        <f t="shared" si="3"/>
        <v>4130</v>
      </c>
      <c r="I66" s="89"/>
    </row>
    <row r="67" s="52" customFormat="1" ht="22.5" customHeight="1" spans="1:9">
      <c r="A67" s="73">
        <v>61</v>
      </c>
      <c r="B67" s="74"/>
      <c r="C67" s="80" t="s">
        <v>184</v>
      </c>
      <c r="D67" s="82">
        <v>349</v>
      </c>
      <c r="E67" s="82"/>
      <c r="F67" s="82">
        <v>301</v>
      </c>
      <c r="G67" s="79">
        <f t="shared" si="4"/>
        <v>-301</v>
      </c>
      <c r="H67" s="79">
        <f t="shared" si="3"/>
        <v>48</v>
      </c>
      <c r="I67" s="89"/>
    </row>
    <row r="68" s="52" customFormat="1" ht="45" customHeight="1" spans="1:9">
      <c r="A68" s="73">
        <v>62</v>
      </c>
      <c r="B68" s="74"/>
      <c r="C68" s="80" t="s">
        <v>185</v>
      </c>
      <c r="D68" s="82">
        <v>1719</v>
      </c>
      <c r="E68" s="82"/>
      <c r="F68" s="82">
        <v>1375</v>
      </c>
      <c r="G68" s="79">
        <f t="shared" si="4"/>
        <v>-1375</v>
      </c>
      <c r="H68" s="79">
        <f t="shared" si="3"/>
        <v>344</v>
      </c>
      <c r="I68" s="90"/>
    </row>
    <row r="69" s="52" customFormat="1" ht="22.5" customHeight="1" spans="1:9">
      <c r="A69" s="73">
        <v>63</v>
      </c>
      <c r="B69" s="74"/>
      <c r="C69" s="80" t="s">
        <v>186</v>
      </c>
      <c r="D69" s="82">
        <v>5</v>
      </c>
      <c r="E69" s="82"/>
      <c r="F69" s="82">
        <v>3</v>
      </c>
      <c r="G69" s="79">
        <f t="shared" si="4"/>
        <v>-3</v>
      </c>
      <c r="H69" s="79">
        <f t="shared" si="3"/>
        <v>2</v>
      </c>
      <c r="I69" s="89"/>
    </row>
    <row r="70" s="52" customFormat="1" ht="22.5" customHeight="1" spans="1:9">
      <c r="A70" s="73">
        <v>64</v>
      </c>
      <c r="B70" s="74"/>
      <c r="C70" s="78" t="s">
        <v>187</v>
      </c>
      <c r="D70" s="82">
        <f>SUM(D71:D72)</f>
        <v>1306</v>
      </c>
      <c r="E70" s="82">
        <f>SUM(E71:E72)</f>
        <v>0</v>
      </c>
      <c r="F70" s="82">
        <f>SUM(F71:F72)</f>
        <v>189</v>
      </c>
      <c r="G70" s="82">
        <f>SUM(G71:G72)</f>
        <v>-189</v>
      </c>
      <c r="H70" s="82">
        <f>SUM(H71:H72)</f>
        <v>1117</v>
      </c>
      <c r="I70" s="89"/>
    </row>
    <row r="71" s="52" customFormat="1" ht="46" customHeight="1" spans="1:9">
      <c r="A71" s="73">
        <v>65</v>
      </c>
      <c r="B71" s="74"/>
      <c r="C71" s="80" t="s">
        <v>188</v>
      </c>
      <c r="D71" s="82">
        <v>1163</v>
      </c>
      <c r="E71" s="82"/>
      <c r="F71" s="82">
        <v>189</v>
      </c>
      <c r="G71" s="79">
        <f t="shared" si="4"/>
        <v>-189</v>
      </c>
      <c r="H71" s="79">
        <f t="shared" si="3"/>
        <v>974</v>
      </c>
      <c r="I71" s="90"/>
    </row>
    <row r="72" s="52" customFormat="1" ht="22.5" customHeight="1" spans="1:9">
      <c r="A72" s="73">
        <v>66</v>
      </c>
      <c r="B72" s="74"/>
      <c r="C72" s="80" t="s">
        <v>189</v>
      </c>
      <c r="D72" s="82">
        <v>143</v>
      </c>
      <c r="E72" s="82"/>
      <c r="F72" s="82"/>
      <c r="G72" s="79">
        <f t="shared" si="4"/>
        <v>0</v>
      </c>
      <c r="H72" s="79">
        <f t="shared" si="3"/>
        <v>143</v>
      </c>
      <c r="I72" s="89"/>
    </row>
    <row r="73" s="54" customFormat="1" ht="22.5" customHeight="1" spans="1:9">
      <c r="A73" s="73">
        <v>67</v>
      </c>
      <c r="B73" s="74"/>
      <c r="C73" s="78" t="s">
        <v>190</v>
      </c>
      <c r="D73" s="82">
        <v>1712</v>
      </c>
      <c r="E73" s="82">
        <v>30</v>
      </c>
      <c r="F73" s="82"/>
      <c r="G73" s="79">
        <f t="shared" si="4"/>
        <v>30</v>
      </c>
      <c r="H73" s="79">
        <f t="shared" si="3"/>
        <v>1742</v>
      </c>
      <c r="I73" s="89"/>
    </row>
    <row r="74" s="52" customFormat="1" ht="22.5" customHeight="1" spans="1:9">
      <c r="A74" s="73">
        <v>68</v>
      </c>
      <c r="B74" s="74"/>
      <c r="C74" s="78" t="s">
        <v>191</v>
      </c>
      <c r="D74" s="82">
        <v>0</v>
      </c>
      <c r="E74" s="82">
        <v>0</v>
      </c>
      <c r="F74" s="82">
        <v>0</v>
      </c>
      <c r="G74" s="79">
        <f t="shared" si="4"/>
        <v>0</v>
      </c>
      <c r="H74" s="79">
        <f t="shared" ref="H74:H105" si="5">D74+G74</f>
        <v>0</v>
      </c>
      <c r="I74" s="89"/>
    </row>
    <row r="75" s="52" customFormat="1" ht="42" customHeight="1" spans="1:9">
      <c r="A75" s="73">
        <v>69</v>
      </c>
      <c r="B75" s="74"/>
      <c r="C75" s="78" t="s">
        <v>192</v>
      </c>
      <c r="D75" s="82">
        <v>2531</v>
      </c>
      <c r="E75" s="82">
        <v>0</v>
      </c>
      <c r="F75" s="82">
        <v>318</v>
      </c>
      <c r="G75" s="79">
        <f t="shared" ref="G75:G106" si="6">E75-F75</f>
        <v>-318</v>
      </c>
      <c r="H75" s="79">
        <f t="shared" si="5"/>
        <v>2213</v>
      </c>
      <c r="I75" s="90"/>
    </row>
    <row r="76" s="52" customFormat="1" ht="22.5" customHeight="1" spans="1:9">
      <c r="A76" s="73">
        <v>70</v>
      </c>
      <c r="B76" s="74"/>
      <c r="C76" s="78" t="s">
        <v>193</v>
      </c>
      <c r="D76" s="82">
        <v>946</v>
      </c>
      <c r="E76" s="82">
        <v>95</v>
      </c>
      <c r="F76" s="82"/>
      <c r="G76" s="79">
        <f t="shared" si="6"/>
        <v>95</v>
      </c>
      <c r="H76" s="79">
        <f t="shared" si="5"/>
        <v>1041</v>
      </c>
      <c r="I76" s="89"/>
    </row>
    <row r="77" s="54" customFormat="1" ht="22.5" customHeight="1" spans="1:9">
      <c r="A77" s="73">
        <v>71</v>
      </c>
      <c r="B77" s="74"/>
      <c r="C77" s="78" t="s">
        <v>194</v>
      </c>
      <c r="D77" s="82">
        <v>408</v>
      </c>
      <c r="E77" s="82">
        <v>0</v>
      </c>
      <c r="F77" s="82">
        <v>186</v>
      </c>
      <c r="G77" s="79">
        <f t="shared" si="6"/>
        <v>-186</v>
      </c>
      <c r="H77" s="79">
        <f t="shared" si="5"/>
        <v>222</v>
      </c>
      <c r="I77" s="91"/>
    </row>
    <row r="78" s="52" customFormat="1" ht="42" customHeight="1" spans="1:9">
      <c r="A78" s="73">
        <v>72</v>
      </c>
      <c r="B78" s="74"/>
      <c r="C78" s="78" t="s">
        <v>195</v>
      </c>
      <c r="D78" s="82">
        <v>5183</v>
      </c>
      <c r="E78" s="82">
        <v>54.85</v>
      </c>
      <c r="F78" s="82">
        <v>596</v>
      </c>
      <c r="G78" s="79">
        <f t="shared" si="6"/>
        <v>-541.15</v>
      </c>
      <c r="H78" s="79">
        <f t="shared" si="5"/>
        <v>4641.85</v>
      </c>
      <c r="I78" s="90"/>
    </row>
    <row r="79" s="52" customFormat="1" ht="22.5" customHeight="1" spans="1:9">
      <c r="A79" s="73">
        <v>73</v>
      </c>
      <c r="B79" s="74"/>
      <c r="C79" s="78" t="s">
        <v>196</v>
      </c>
      <c r="D79" s="82">
        <v>453</v>
      </c>
      <c r="E79" s="82">
        <v>115</v>
      </c>
      <c r="F79" s="82"/>
      <c r="G79" s="79">
        <f t="shared" si="6"/>
        <v>115</v>
      </c>
      <c r="H79" s="79">
        <f t="shared" si="5"/>
        <v>568</v>
      </c>
      <c r="I79" s="89"/>
    </row>
    <row r="80" s="52" customFormat="1" ht="22.5" customHeight="1" spans="1:9">
      <c r="A80" s="73">
        <v>74</v>
      </c>
      <c r="B80" s="74"/>
      <c r="C80" s="78" t="s">
        <v>197</v>
      </c>
      <c r="D80" s="82">
        <f>SUM(D81:D84)</f>
        <v>1298</v>
      </c>
      <c r="E80" s="82">
        <f>SUM(E81:E84)</f>
        <v>168</v>
      </c>
      <c r="F80" s="82">
        <f>SUM(F81:F84)</f>
        <v>1157</v>
      </c>
      <c r="G80" s="82">
        <f>SUM(G81:G84)</f>
        <v>-989</v>
      </c>
      <c r="H80" s="82">
        <f>SUM(H81:H84)</f>
        <v>309</v>
      </c>
      <c r="I80" s="89"/>
    </row>
    <row r="81" s="52" customFormat="1" ht="66" customHeight="1" spans="1:9">
      <c r="A81" s="73">
        <v>75</v>
      </c>
      <c r="B81" s="74"/>
      <c r="C81" s="80" t="s">
        <v>198</v>
      </c>
      <c r="D81" s="82">
        <v>1146</v>
      </c>
      <c r="E81" s="82"/>
      <c r="F81" s="82">
        <v>1128</v>
      </c>
      <c r="G81" s="79">
        <f t="shared" si="6"/>
        <v>-1128</v>
      </c>
      <c r="H81" s="79">
        <f t="shared" si="5"/>
        <v>18</v>
      </c>
      <c r="I81" s="90"/>
    </row>
    <row r="82" s="52" customFormat="1" ht="22.5" customHeight="1" spans="1:9">
      <c r="A82" s="73">
        <v>76</v>
      </c>
      <c r="B82" s="74" t="s">
        <v>126</v>
      </c>
      <c r="C82" s="80" t="s">
        <v>199</v>
      </c>
      <c r="D82" s="82">
        <v>71</v>
      </c>
      <c r="E82" s="82">
        <v>82</v>
      </c>
      <c r="F82" s="82"/>
      <c r="G82" s="79">
        <f t="shared" si="6"/>
        <v>82</v>
      </c>
      <c r="H82" s="79">
        <f t="shared" si="5"/>
        <v>153</v>
      </c>
      <c r="I82" s="89"/>
    </row>
    <row r="83" s="52" customFormat="1" ht="22.5" customHeight="1" spans="1:9">
      <c r="A83" s="73">
        <v>77</v>
      </c>
      <c r="B83" s="74"/>
      <c r="C83" s="80" t="s">
        <v>200</v>
      </c>
      <c r="D83" s="82">
        <v>81</v>
      </c>
      <c r="E83" s="82"/>
      <c r="F83" s="82">
        <v>29</v>
      </c>
      <c r="G83" s="79">
        <f t="shared" si="6"/>
        <v>-29</v>
      </c>
      <c r="H83" s="79">
        <f t="shared" si="5"/>
        <v>52</v>
      </c>
      <c r="I83" s="89"/>
    </row>
    <row r="84" s="52" customFormat="1" ht="22.5" customHeight="1" spans="1:9">
      <c r="A84" s="73">
        <v>78</v>
      </c>
      <c r="B84" s="74"/>
      <c r="C84" s="92" t="s">
        <v>201</v>
      </c>
      <c r="D84" s="82">
        <v>0</v>
      </c>
      <c r="E84" s="82">
        <v>86</v>
      </c>
      <c r="F84" s="82">
        <v>0</v>
      </c>
      <c r="G84" s="79">
        <f t="shared" si="6"/>
        <v>86</v>
      </c>
      <c r="H84" s="79">
        <f t="shared" si="5"/>
        <v>86</v>
      </c>
      <c r="I84" s="89"/>
    </row>
    <row r="85" s="52" customFormat="1" ht="22.5" customHeight="1" spans="1:9">
      <c r="A85" s="73">
        <v>79</v>
      </c>
      <c r="B85" s="74"/>
      <c r="C85" s="78" t="s">
        <v>202</v>
      </c>
      <c r="D85" s="82">
        <v>696</v>
      </c>
      <c r="E85" s="82"/>
      <c r="F85" s="82"/>
      <c r="G85" s="79">
        <f t="shared" si="6"/>
        <v>0</v>
      </c>
      <c r="H85" s="79">
        <f t="shared" si="5"/>
        <v>696</v>
      </c>
      <c r="I85" s="89"/>
    </row>
    <row r="86" s="52" customFormat="1" ht="22.5" customHeight="1" spans="1:9">
      <c r="A86" s="73">
        <v>80</v>
      </c>
      <c r="B86" s="74"/>
      <c r="C86" s="78" t="s">
        <v>203</v>
      </c>
      <c r="D86" s="82">
        <v>3349</v>
      </c>
      <c r="E86" s="82">
        <v>444</v>
      </c>
      <c r="F86" s="82"/>
      <c r="G86" s="79">
        <f t="shared" si="6"/>
        <v>444</v>
      </c>
      <c r="H86" s="79">
        <f t="shared" si="5"/>
        <v>3793</v>
      </c>
      <c r="I86" s="89"/>
    </row>
    <row r="87" s="54" customFormat="1" ht="22.5" customHeight="1" spans="1:9">
      <c r="A87" s="73">
        <v>81</v>
      </c>
      <c r="B87" s="74"/>
      <c r="C87" s="78" t="s">
        <v>204</v>
      </c>
      <c r="D87" s="82">
        <f>SUM(D88:D89)</f>
        <v>890</v>
      </c>
      <c r="E87" s="82">
        <f>SUM(E88:E89)</f>
        <v>0</v>
      </c>
      <c r="F87" s="82">
        <f>SUM(F88:F89)</f>
        <v>175</v>
      </c>
      <c r="G87" s="82">
        <f>SUM(G88:G89)</f>
        <v>-175</v>
      </c>
      <c r="H87" s="82">
        <f>SUM(H88:H89)</f>
        <v>715</v>
      </c>
      <c r="I87" s="91"/>
    </row>
    <row r="88" s="52" customFormat="1" ht="43" customHeight="1" spans="1:9">
      <c r="A88" s="73">
        <v>82</v>
      </c>
      <c r="B88" s="74"/>
      <c r="C88" s="80" t="s">
        <v>205</v>
      </c>
      <c r="D88" s="82">
        <v>890</v>
      </c>
      <c r="E88" s="82"/>
      <c r="F88" s="82">
        <v>175</v>
      </c>
      <c r="G88" s="79">
        <f t="shared" si="6"/>
        <v>-175</v>
      </c>
      <c r="H88" s="79">
        <f t="shared" si="5"/>
        <v>715</v>
      </c>
      <c r="I88" s="90"/>
    </row>
    <row r="89" s="52" customFormat="1" ht="22.5" customHeight="1" spans="1:9">
      <c r="A89" s="73">
        <v>83</v>
      </c>
      <c r="B89" s="74"/>
      <c r="C89" s="80" t="s">
        <v>206</v>
      </c>
      <c r="D89" s="82">
        <v>0</v>
      </c>
      <c r="E89" s="82"/>
      <c r="F89" s="82"/>
      <c r="G89" s="79">
        <f t="shared" si="6"/>
        <v>0</v>
      </c>
      <c r="H89" s="79">
        <f t="shared" si="5"/>
        <v>0</v>
      </c>
      <c r="I89" s="89"/>
    </row>
    <row r="90" s="54" customFormat="1" ht="22.5" customHeight="1" spans="1:9">
      <c r="A90" s="73">
        <v>84</v>
      </c>
      <c r="B90" s="74"/>
      <c r="C90" s="78" t="s">
        <v>207</v>
      </c>
      <c r="D90" s="82">
        <v>251</v>
      </c>
      <c r="E90" s="82">
        <v>23</v>
      </c>
      <c r="F90" s="82"/>
      <c r="G90" s="79">
        <f t="shared" si="6"/>
        <v>23</v>
      </c>
      <c r="H90" s="79">
        <f t="shared" si="5"/>
        <v>274</v>
      </c>
      <c r="I90" s="91"/>
    </row>
    <row r="91" s="52" customFormat="1" ht="22.5" customHeight="1" spans="1:9">
      <c r="A91" s="73">
        <v>85</v>
      </c>
      <c r="B91" s="74"/>
      <c r="C91" s="78" t="s">
        <v>208</v>
      </c>
      <c r="D91" s="82">
        <v>560</v>
      </c>
      <c r="E91" s="82"/>
      <c r="F91" s="82"/>
      <c r="G91" s="79">
        <f t="shared" si="6"/>
        <v>0</v>
      </c>
      <c r="H91" s="79">
        <f t="shared" si="5"/>
        <v>560</v>
      </c>
      <c r="I91" s="89"/>
    </row>
    <row r="92" s="52" customFormat="1" ht="22.5" customHeight="1" spans="1:9">
      <c r="A92" s="73">
        <v>86</v>
      </c>
      <c r="B92" s="74"/>
      <c r="C92" s="78" t="s">
        <v>209</v>
      </c>
      <c r="D92" s="82">
        <f>SUM(D93:D96)</f>
        <v>9499</v>
      </c>
      <c r="E92" s="82">
        <f>SUM(E93:E96)</f>
        <v>18</v>
      </c>
      <c r="F92" s="82">
        <f>SUM(F93:F96)</f>
        <v>0</v>
      </c>
      <c r="G92" s="82">
        <f>SUM(G93:G96)</f>
        <v>18</v>
      </c>
      <c r="H92" s="82">
        <f>SUM(H93:H96)</f>
        <v>9517</v>
      </c>
      <c r="I92" s="89"/>
    </row>
    <row r="93" s="52" customFormat="1" ht="31" customHeight="1" spans="1:9">
      <c r="A93" s="73">
        <v>87</v>
      </c>
      <c r="B93" s="74"/>
      <c r="C93" s="80" t="s">
        <v>210</v>
      </c>
      <c r="D93" s="82">
        <v>5975</v>
      </c>
      <c r="E93" s="82">
        <v>13</v>
      </c>
      <c r="F93" s="82"/>
      <c r="G93" s="79">
        <f t="shared" si="6"/>
        <v>13</v>
      </c>
      <c r="H93" s="79">
        <f t="shared" si="5"/>
        <v>5988</v>
      </c>
      <c r="I93" s="89"/>
    </row>
    <row r="94" s="52" customFormat="1" ht="22.5" customHeight="1" spans="1:9">
      <c r="A94" s="73">
        <v>88</v>
      </c>
      <c r="B94" s="74"/>
      <c r="C94" s="93" t="s">
        <v>211</v>
      </c>
      <c r="D94" s="82">
        <v>2307</v>
      </c>
      <c r="E94" s="82">
        <v>5</v>
      </c>
      <c r="F94" s="82"/>
      <c r="G94" s="79">
        <f t="shared" si="6"/>
        <v>5</v>
      </c>
      <c r="H94" s="79">
        <f t="shared" si="5"/>
        <v>2312</v>
      </c>
      <c r="I94" s="89"/>
    </row>
    <row r="95" s="52" customFormat="1" ht="22.5" customHeight="1" spans="1:9">
      <c r="A95" s="73">
        <v>89</v>
      </c>
      <c r="B95" s="74"/>
      <c r="C95" s="80" t="s">
        <v>212</v>
      </c>
      <c r="D95" s="82">
        <v>950</v>
      </c>
      <c r="E95" s="82"/>
      <c r="F95" s="82"/>
      <c r="G95" s="79">
        <f t="shared" si="6"/>
        <v>0</v>
      </c>
      <c r="H95" s="79">
        <f t="shared" si="5"/>
        <v>950</v>
      </c>
      <c r="I95" s="89"/>
    </row>
    <row r="96" s="52" customFormat="1" ht="22.5" customHeight="1" spans="1:9">
      <c r="A96" s="73">
        <v>90</v>
      </c>
      <c r="B96" s="74"/>
      <c r="C96" s="80" t="s">
        <v>213</v>
      </c>
      <c r="D96" s="82">
        <v>267</v>
      </c>
      <c r="E96" s="82"/>
      <c r="F96" s="82"/>
      <c r="G96" s="79">
        <f t="shared" si="6"/>
        <v>0</v>
      </c>
      <c r="H96" s="79">
        <f t="shared" si="5"/>
        <v>267</v>
      </c>
      <c r="I96" s="89"/>
    </row>
    <row r="97" s="52" customFormat="1" ht="22.5" customHeight="1" spans="1:230">
      <c r="A97" s="73">
        <v>91</v>
      </c>
      <c r="B97" s="74"/>
      <c r="C97" s="78" t="s">
        <v>214</v>
      </c>
      <c r="D97" s="82">
        <f>SUM(D98:D101)</f>
        <v>3977</v>
      </c>
      <c r="E97" s="82">
        <f>SUM(E98:E101)</f>
        <v>53</v>
      </c>
      <c r="F97" s="82">
        <f>SUM(F98:F101)</f>
        <v>2436</v>
      </c>
      <c r="G97" s="82">
        <f>SUM(G98:G101)</f>
        <v>-2383</v>
      </c>
      <c r="H97" s="82">
        <f>SUM(H98:H101)</f>
        <v>1594</v>
      </c>
      <c r="I97" s="91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4"/>
      <c r="DU97" s="54"/>
      <c r="DV97" s="54"/>
      <c r="DW97" s="54"/>
      <c r="DX97" s="54"/>
      <c r="DY97" s="54"/>
      <c r="DZ97" s="54"/>
      <c r="EA97" s="54"/>
      <c r="EB97" s="54"/>
      <c r="EC97" s="54"/>
      <c r="ED97" s="54"/>
      <c r="EE97" s="54"/>
      <c r="EF97" s="54"/>
      <c r="EG97" s="54"/>
      <c r="EH97" s="54"/>
      <c r="EI97" s="54"/>
      <c r="EJ97" s="54"/>
      <c r="EK97" s="54"/>
      <c r="EL97" s="54"/>
      <c r="EM97" s="54"/>
      <c r="EN97" s="54"/>
      <c r="EO97" s="54"/>
      <c r="EP97" s="54"/>
      <c r="EQ97" s="54"/>
      <c r="ER97" s="54"/>
      <c r="ES97" s="54"/>
      <c r="ET97" s="54"/>
      <c r="EU97" s="54"/>
      <c r="EV97" s="54"/>
      <c r="EW97" s="54"/>
      <c r="EX97" s="54"/>
      <c r="EY97" s="54"/>
      <c r="EZ97" s="54"/>
      <c r="FA97" s="54"/>
      <c r="FB97" s="54"/>
      <c r="FC97" s="54"/>
      <c r="FD97" s="54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4"/>
      <c r="FT97" s="54"/>
      <c r="FU97" s="54"/>
      <c r="FV97" s="54"/>
      <c r="FW97" s="54"/>
      <c r="FX97" s="54"/>
      <c r="FY97" s="54"/>
      <c r="FZ97" s="54"/>
      <c r="GA97" s="54"/>
      <c r="GB97" s="54"/>
      <c r="GC97" s="54"/>
      <c r="GD97" s="54"/>
      <c r="GE97" s="54"/>
      <c r="GF97" s="54"/>
      <c r="GG97" s="54"/>
      <c r="GH97" s="54"/>
      <c r="GI97" s="54"/>
      <c r="GJ97" s="54"/>
      <c r="GK97" s="54"/>
      <c r="GL97" s="54"/>
      <c r="GM97" s="54"/>
      <c r="GN97" s="54"/>
      <c r="GO97" s="54"/>
      <c r="GP97" s="54"/>
      <c r="GQ97" s="54"/>
      <c r="GR97" s="54"/>
      <c r="GS97" s="54"/>
      <c r="GT97" s="54"/>
      <c r="GU97" s="54"/>
      <c r="GV97" s="54"/>
      <c r="GW97" s="54"/>
      <c r="GX97" s="54"/>
      <c r="GY97" s="54"/>
      <c r="GZ97" s="54"/>
      <c r="HA97" s="54"/>
      <c r="HB97" s="54"/>
      <c r="HC97" s="54"/>
      <c r="HD97" s="54"/>
      <c r="HE97" s="54"/>
      <c r="HF97" s="54"/>
      <c r="HG97" s="54"/>
      <c r="HH97" s="54"/>
      <c r="HI97" s="54"/>
      <c r="HJ97" s="54"/>
      <c r="HK97" s="54"/>
      <c r="HL97" s="54"/>
      <c r="HM97" s="54"/>
      <c r="HN97" s="54"/>
      <c r="HO97" s="54"/>
      <c r="HP97" s="54"/>
      <c r="HQ97" s="54"/>
      <c r="HR97" s="54"/>
      <c r="HS97" s="54"/>
      <c r="HT97" s="54"/>
      <c r="HU97" s="54"/>
      <c r="HV97" s="54"/>
    </row>
    <row r="98" s="52" customFormat="1" ht="22.5" customHeight="1" spans="1:9">
      <c r="A98" s="73">
        <v>92</v>
      </c>
      <c r="B98" s="74"/>
      <c r="C98" s="80" t="s">
        <v>215</v>
      </c>
      <c r="D98" s="82">
        <v>844</v>
      </c>
      <c r="E98" s="82">
        <v>53</v>
      </c>
      <c r="F98" s="82"/>
      <c r="G98" s="79">
        <f t="shared" si="6"/>
        <v>53</v>
      </c>
      <c r="H98" s="79">
        <f t="shared" si="5"/>
        <v>897</v>
      </c>
      <c r="I98" s="89"/>
    </row>
    <row r="99" s="52" customFormat="1" ht="22.5" customHeight="1" spans="1:9">
      <c r="A99" s="73">
        <v>93</v>
      </c>
      <c r="B99" s="74"/>
      <c r="C99" s="80" t="s">
        <v>216</v>
      </c>
      <c r="D99" s="82">
        <v>350</v>
      </c>
      <c r="E99" s="82"/>
      <c r="F99" s="82"/>
      <c r="G99" s="79">
        <f t="shared" si="6"/>
        <v>0</v>
      </c>
      <c r="H99" s="79">
        <f t="shared" si="5"/>
        <v>350</v>
      </c>
      <c r="I99" s="89"/>
    </row>
    <row r="100" s="52" customFormat="1" ht="22.5" customHeight="1" spans="1:230">
      <c r="A100" s="73">
        <v>94</v>
      </c>
      <c r="B100" s="74"/>
      <c r="C100" s="80" t="s">
        <v>217</v>
      </c>
      <c r="D100" s="82">
        <v>0</v>
      </c>
      <c r="E100" s="82">
        <v>0</v>
      </c>
      <c r="F100" s="82">
        <v>0</v>
      </c>
      <c r="G100" s="79">
        <f t="shared" si="6"/>
        <v>0</v>
      </c>
      <c r="H100" s="79">
        <f t="shared" si="5"/>
        <v>0</v>
      </c>
      <c r="I100" s="91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54"/>
      <c r="FG100" s="54"/>
      <c r="FH100" s="54"/>
      <c r="FI100" s="54"/>
      <c r="FJ100" s="54"/>
      <c r="FK100" s="54"/>
      <c r="FL100" s="54"/>
      <c r="FM100" s="54"/>
      <c r="FN100" s="54"/>
      <c r="FO100" s="54"/>
      <c r="FP100" s="54"/>
      <c r="FQ100" s="54"/>
      <c r="FR100" s="54"/>
      <c r="FS100" s="54"/>
      <c r="FT100" s="54"/>
      <c r="FU100" s="54"/>
      <c r="FV100" s="54"/>
      <c r="FW100" s="54"/>
      <c r="FX100" s="54"/>
      <c r="FY100" s="54"/>
      <c r="FZ100" s="54"/>
      <c r="GA100" s="54"/>
      <c r="GB100" s="54"/>
      <c r="GC100" s="54"/>
      <c r="GD100" s="54"/>
      <c r="GE100" s="54"/>
      <c r="GF100" s="54"/>
      <c r="GG100" s="54"/>
      <c r="GH100" s="54"/>
      <c r="GI100" s="54"/>
      <c r="GJ100" s="54"/>
      <c r="GK100" s="54"/>
      <c r="GL100" s="54"/>
      <c r="GM100" s="54"/>
      <c r="GN100" s="54"/>
      <c r="GO100" s="54"/>
      <c r="GP100" s="54"/>
      <c r="GQ100" s="54"/>
      <c r="GR100" s="54"/>
      <c r="GS100" s="54"/>
      <c r="GT100" s="54"/>
      <c r="GU100" s="54"/>
      <c r="GV100" s="54"/>
      <c r="GW100" s="54"/>
      <c r="GX100" s="54"/>
      <c r="GY100" s="54"/>
      <c r="GZ100" s="54"/>
      <c r="HA100" s="54"/>
      <c r="HB100" s="54"/>
      <c r="HC100" s="54"/>
      <c r="HD100" s="54"/>
      <c r="HE100" s="54"/>
      <c r="HF100" s="54"/>
      <c r="HG100" s="54"/>
      <c r="HH100" s="54"/>
      <c r="HI100" s="54"/>
      <c r="HJ100" s="54"/>
      <c r="HK100" s="54"/>
      <c r="HL100" s="54"/>
      <c r="HM100" s="54"/>
      <c r="HN100" s="54"/>
      <c r="HO100" s="54"/>
      <c r="HP100" s="54"/>
      <c r="HQ100" s="54"/>
      <c r="HR100" s="54"/>
      <c r="HS100" s="54"/>
      <c r="HT100" s="54"/>
      <c r="HU100" s="54"/>
      <c r="HV100" s="54"/>
    </row>
    <row r="101" s="52" customFormat="1" ht="33" customHeight="1" spans="1:9">
      <c r="A101" s="73">
        <v>95</v>
      </c>
      <c r="B101" s="74"/>
      <c r="C101" s="80" t="s">
        <v>218</v>
      </c>
      <c r="D101" s="82">
        <v>2783</v>
      </c>
      <c r="E101" s="82"/>
      <c r="F101" s="82">
        <v>2436</v>
      </c>
      <c r="G101" s="79">
        <f t="shared" si="6"/>
        <v>-2436</v>
      </c>
      <c r="H101" s="79">
        <f t="shared" si="5"/>
        <v>347</v>
      </c>
      <c r="I101" s="90"/>
    </row>
    <row r="102" s="52" customFormat="1" ht="22.5" customHeight="1" spans="1:9">
      <c r="A102" s="73">
        <v>96</v>
      </c>
      <c r="B102" s="74"/>
      <c r="C102" s="94" t="s">
        <v>219</v>
      </c>
      <c r="D102" s="82">
        <v>1143</v>
      </c>
      <c r="E102" s="82"/>
      <c r="F102" s="82"/>
      <c r="G102" s="79">
        <f t="shared" si="6"/>
        <v>0</v>
      </c>
      <c r="H102" s="79">
        <f t="shared" si="5"/>
        <v>1143</v>
      </c>
      <c r="I102" s="89"/>
    </row>
    <row r="103" s="52" customFormat="1" ht="22.5" customHeight="1" spans="1:230">
      <c r="A103" s="73">
        <v>97</v>
      </c>
      <c r="B103" s="74"/>
      <c r="C103" s="94" t="s">
        <v>220</v>
      </c>
      <c r="D103" s="82">
        <v>0</v>
      </c>
      <c r="E103" s="82">
        <v>0</v>
      </c>
      <c r="F103" s="82">
        <v>0</v>
      </c>
      <c r="G103" s="79">
        <f t="shared" si="6"/>
        <v>0</v>
      </c>
      <c r="H103" s="79">
        <f t="shared" si="5"/>
        <v>0</v>
      </c>
      <c r="I103" s="91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4"/>
      <c r="DJ103" s="54"/>
      <c r="DK103" s="54"/>
      <c r="DL103" s="54"/>
      <c r="DM103" s="54"/>
      <c r="DN103" s="54"/>
      <c r="DO103" s="54"/>
      <c r="DP103" s="54"/>
      <c r="DQ103" s="54"/>
      <c r="DR103" s="54"/>
      <c r="DS103" s="54"/>
      <c r="DT103" s="54"/>
      <c r="DU103" s="54"/>
      <c r="DV103" s="54"/>
      <c r="DW103" s="54"/>
      <c r="DX103" s="54"/>
      <c r="DY103" s="54"/>
      <c r="DZ103" s="54"/>
      <c r="EA103" s="54"/>
      <c r="EB103" s="54"/>
      <c r="EC103" s="54"/>
      <c r="ED103" s="54"/>
      <c r="EE103" s="54"/>
      <c r="EF103" s="54"/>
      <c r="EG103" s="54"/>
      <c r="EH103" s="54"/>
      <c r="EI103" s="54"/>
      <c r="EJ103" s="54"/>
      <c r="EK103" s="54"/>
      <c r="EL103" s="54"/>
      <c r="EM103" s="54"/>
      <c r="EN103" s="54"/>
      <c r="EO103" s="54"/>
      <c r="EP103" s="54"/>
      <c r="EQ103" s="54"/>
      <c r="ER103" s="54"/>
      <c r="ES103" s="54"/>
      <c r="ET103" s="54"/>
      <c r="EU103" s="54"/>
      <c r="EV103" s="54"/>
      <c r="EW103" s="54"/>
      <c r="EX103" s="54"/>
      <c r="EY103" s="54"/>
      <c r="EZ103" s="54"/>
      <c r="FA103" s="54"/>
      <c r="FB103" s="54"/>
      <c r="FC103" s="54"/>
      <c r="FD103" s="54"/>
      <c r="FE103" s="54"/>
      <c r="FF103" s="54"/>
      <c r="FG103" s="54"/>
      <c r="FH103" s="54"/>
      <c r="FI103" s="54"/>
      <c r="FJ103" s="54"/>
      <c r="FK103" s="54"/>
      <c r="FL103" s="54"/>
      <c r="FM103" s="54"/>
      <c r="FN103" s="54"/>
      <c r="FO103" s="54"/>
      <c r="FP103" s="54"/>
      <c r="FQ103" s="54"/>
      <c r="FR103" s="54"/>
      <c r="FS103" s="54"/>
      <c r="FT103" s="54"/>
      <c r="FU103" s="54"/>
      <c r="FV103" s="54"/>
      <c r="FW103" s="54"/>
      <c r="FX103" s="54"/>
      <c r="FY103" s="54"/>
      <c r="FZ103" s="54"/>
      <c r="GA103" s="54"/>
      <c r="GB103" s="54"/>
      <c r="GC103" s="54"/>
      <c r="GD103" s="54"/>
      <c r="GE103" s="54"/>
      <c r="GF103" s="54"/>
      <c r="GG103" s="54"/>
      <c r="GH103" s="54"/>
      <c r="GI103" s="54"/>
      <c r="GJ103" s="54"/>
      <c r="GK103" s="54"/>
      <c r="GL103" s="54"/>
      <c r="GM103" s="54"/>
      <c r="GN103" s="54"/>
      <c r="GO103" s="54"/>
      <c r="GP103" s="54"/>
      <c r="GQ103" s="54"/>
      <c r="GR103" s="54"/>
      <c r="GS103" s="54"/>
      <c r="GT103" s="54"/>
      <c r="GU103" s="54"/>
      <c r="GV103" s="54"/>
      <c r="GW103" s="54"/>
      <c r="GX103" s="54"/>
      <c r="GY103" s="54"/>
      <c r="GZ103" s="54"/>
      <c r="HA103" s="54"/>
      <c r="HB103" s="54"/>
      <c r="HC103" s="54"/>
      <c r="HD103" s="54"/>
      <c r="HE103" s="54"/>
      <c r="HF103" s="54"/>
      <c r="HG103" s="54"/>
      <c r="HH103" s="54"/>
      <c r="HI103" s="54"/>
      <c r="HJ103" s="54"/>
      <c r="HK103" s="54"/>
      <c r="HL103" s="54"/>
      <c r="HM103" s="54"/>
      <c r="HN103" s="54"/>
      <c r="HO103" s="54"/>
      <c r="HP103" s="54"/>
      <c r="HQ103" s="54"/>
      <c r="HR103" s="54"/>
      <c r="HS103" s="54"/>
      <c r="HT103" s="54"/>
      <c r="HU103" s="54"/>
      <c r="HV103" s="54"/>
    </row>
    <row r="104" s="52" customFormat="1" ht="22.5" customHeight="1" spans="1:9">
      <c r="A104" s="73">
        <v>98</v>
      </c>
      <c r="B104" s="74"/>
      <c r="C104" s="94" t="s">
        <v>221</v>
      </c>
      <c r="D104" s="82">
        <v>1389</v>
      </c>
      <c r="E104" s="82"/>
      <c r="F104" s="82">
        <v>456</v>
      </c>
      <c r="G104" s="79">
        <f t="shared" si="6"/>
        <v>-456</v>
      </c>
      <c r="H104" s="79">
        <f t="shared" si="5"/>
        <v>933</v>
      </c>
      <c r="I104" s="89"/>
    </row>
    <row r="105" s="54" customFormat="1" ht="22.5" customHeight="1" spans="1:9">
      <c r="A105" s="73">
        <v>99</v>
      </c>
      <c r="B105" s="74"/>
      <c r="C105" s="94" t="s">
        <v>222</v>
      </c>
      <c r="D105" s="82">
        <v>165</v>
      </c>
      <c r="E105" s="82"/>
      <c r="F105" s="82"/>
      <c r="G105" s="79">
        <f t="shared" si="6"/>
        <v>0</v>
      </c>
      <c r="H105" s="79">
        <f t="shared" si="5"/>
        <v>165</v>
      </c>
      <c r="I105" s="91"/>
    </row>
    <row r="106" s="52" customFormat="1" ht="22.5" customHeight="1" spans="1:9">
      <c r="A106" s="73">
        <v>100</v>
      </c>
      <c r="B106" s="74"/>
      <c r="C106" s="94" t="s">
        <v>223</v>
      </c>
      <c r="D106" s="82">
        <v>624</v>
      </c>
      <c r="E106" s="82">
        <v>988</v>
      </c>
      <c r="F106" s="82"/>
      <c r="G106" s="79">
        <f t="shared" si="6"/>
        <v>988</v>
      </c>
      <c r="H106" s="79">
        <f t="shared" ref="H106:H137" si="7">D106+G106</f>
        <v>1612</v>
      </c>
      <c r="I106" s="89"/>
    </row>
    <row r="107" s="52" customFormat="1" ht="22.5" customHeight="1" spans="1:9">
      <c r="A107" s="73">
        <v>101</v>
      </c>
      <c r="B107" s="74"/>
      <c r="C107" s="94" t="s">
        <v>224</v>
      </c>
      <c r="D107" s="82">
        <v>256</v>
      </c>
      <c r="E107" s="82">
        <v>131</v>
      </c>
      <c r="F107" s="82"/>
      <c r="G107" s="79">
        <f t="shared" ref="G107:G137" si="8">E107-F107</f>
        <v>131</v>
      </c>
      <c r="H107" s="79">
        <f t="shared" si="7"/>
        <v>387</v>
      </c>
      <c r="I107" s="89"/>
    </row>
    <row r="108" s="52" customFormat="1" ht="22.5" customHeight="1" spans="1:9">
      <c r="A108" s="73">
        <v>102</v>
      </c>
      <c r="B108" s="74"/>
      <c r="C108" s="94" t="s">
        <v>225</v>
      </c>
      <c r="D108" s="82">
        <f t="shared" ref="D108:G108" si="9">SUM(D109:D110)</f>
        <v>519</v>
      </c>
      <c r="E108" s="82">
        <f t="shared" si="9"/>
        <v>64.33</v>
      </c>
      <c r="F108" s="82">
        <f t="shared" si="9"/>
        <v>5</v>
      </c>
      <c r="G108" s="79">
        <f t="shared" si="8"/>
        <v>59.33</v>
      </c>
      <c r="H108" s="79">
        <f t="shared" si="7"/>
        <v>578.33</v>
      </c>
      <c r="I108" s="89"/>
    </row>
    <row r="109" s="54" customFormat="1" ht="22.5" customHeight="1" spans="1:9">
      <c r="A109" s="73">
        <v>103</v>
      </c>
      <c r="B109" s="74"/>
      <c r="C109" s="94" t="s">
        <v>226</v>
      </c>
      <c r="D109" s="82">
        <v>463</v>
      </c>
      <c r="E109" s="82">
        <v>64.33</v>
      </c>
      <c r="F109" s="82">
        <v>5</v>
      </c>
      <c r="G109" s="79">
        <f t="shared" si="8"/>
        <v>59.33</v>
      </c>
      <c r="H109" s="79">
        <f t="shared" si="7"/>
        <v>522.33</v>
      </c>
      <c r="I109" s="91"/>
    </row>
    <row r="110" s="52" customFormat="1" ht="22.5" customHeight="1" spans="1:230">
      <c r="A110" s="73">
        <v>104</v>
      </c>
      <c r="B110" s="74"/>
      <c r="C110" s="94" t="s">
        <v>227</v>
      </c>
      <c r="D110" s="82">
        <v>56</v>
      </c>
      <c r="E110" s="82"/>
      <c r="F110" s="82"/>
      <c r="G110" s="79">
        <f t="shared" si="8"/>
        <v>0</v>
      </c>
      <c r="H110" s="79">
        <f t="shared" si="7"/>
        <v>56</v>
      </c>
      <c r="I110" s="91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4"/>
      <c r="DU110" s="54"/>
      <c r="DV110" s="54"/>
      <c r="DW110" s="54"/>
      <c r="DX110" s="54"/>
      <c r="DY110" s="54"/>
      <c r="DZ110" s="54"/>
      <c r="EA110" s="54"/>
      <c r="EB110" s="54"/>
      <c r="EC110" s="54"/>
      <c r="ED110" s="54"/>
      <c r="EE110" s="54"/>
      <c r="EF110" s="54"/>
      <c r="EG110" s="54"/>
      <c r="EH110" s="54"/>
      <c r="EI110" s="54"/>
      <c r="EJ110" s="54"/>
      <c r="EK110" s="54"/>
      <c r="EL110" s="54"/>
      <c r="EM110" s="54"/>
      <c r="EN110" s="54"/>
      <c r="EO110" s="54"/>
      <c r="EP110" s="54"/>
      <c r="EQ110" s="54"/>
      <c r="ER110" s="54"/>
      <c r="ES110" s="54"/>
      <c r="ET110" s="54"/>
      <c r="EU110" s="54"/>
      <c r="EV110" s="54"/>
      <c r="EW110" s="54"/>
      <c r="EX110" s="54"/>
      <c r="EY110" s="54"/>
      <c r="EZ110" s="54"/>
      <c r="FA110" s="54"/>
      <c r="FB110" s="54"/>
      <c r="FC110" s="54"/>
      <c r="FD110" s="54"/>
      <c r="FE110" s="54"/>
      <c r="FF110" s="54"/>
      <c r="FG110" s="54"/>
      <c r="FH110" s="54"/>
      <c r="FI110" s="54"/>
      <c r="FJ110" s="54"/>
      <c r="FK110" s="54"/>
      <c r="FL110" s="54"/>
      <c r="FM110" s="54"/>
      <c r="FN110" s="54"/>
      <c r="FO110" s="54"/>
      <c r="FP110" s="54"/>
      <c r="FQ110" s="54"/>
      <c r="FR110" s="54"/>
      <c r="FS110" s="54"/>
      <c r="FT110" s="54"/>
      <c r="FU110" s="54"/>
      <c r="FV110" s="54"/>
      <c r="FW110" s="54"/>
      <c r="FX110" s="54"/>
      <c r="FY110" s="54"/>
      <c r="FZ110" s="54"/>
      <c r="GA110" s="54"/>
      <c r="GB110" s="54"/>
      <c r="GC110" s="54"/>
      <c r="GD110" s="54"/>
      <c r="GE110" s="54"/>
      <c r="GF110" s="54"/>
      <c r="GG110" s="54"/>
      <c r="GH110" s="54"/>
      <c r="GI110" s="54"/>
      <c r="GJ110" s="54"/>
      <c r="GK110" s="54"/>
      <c r="GL110" s="54"/>
      <c r="GM110" s="54"/>
      <c r="GN110" s="54"/>
      <c r="GO110" s="54"/>
      <c r="GP110" s="54"/>
      <c r="GQ110" s="54"/>
      <c r="GR110" s="54"/>
      <c r="GS110" s="54"/>
      <c r="GT110" s="54"/>
      <c r="GU110" s="54"/>
      <c r="GV110" s="54"/>
      <c r="GW110" s="54"/>
      <c r="GX110" s="54"/>
      <c r="GY110" s="54"/>
      <c r="GZ110" s="54"/>
      <c r="HA110" s="54"/>
      <c r="HB110" s="54"/>
      <c r="HC110" s="54"/>
      <c r="HD110" s="54"/>
      <c r="HE110" s="54"/>
      <c r="HF110" s="54"/>
      <c r="HG110" s="54"/>
      <c r="HH110" s="54"/>
      <c r="HI110" s="54"/>
      <c r="HJ110" s="54"/>
      <c r="HK110" s="54"/>
      <c r="HL110" s="54"/>
      <c r="HM110" s="54"/>
      <c r="HN110" s="54"/>
      <c r="HO110" s="54"/>
      <c r="HP110" s="54"/>
      <c r="HQ110" s="54"/>
      <c r="HR110" s="54"/>
      <c r="HS110" s="54"/>
      <c r="HT110" s="54"/>
      <c r="HU110" s="54"/>
      <c r="HV110" s="54"/>
    </row>
    <row r="111" s="52" customFormat="1" ht="22.5" customHeight="1" spans="1:9">
      <c r="A111" s="73">
        <v>105</v>
      </c>
      <c r="B111" s="74"/>
      <c r="C111" s="95" t="s">
        <v>228</v>
      </c>
      <c r="D111" s="82">
        <v>8</v>
      </c>
      <c r="E111" s="82">
        <v>34</v>
      </c>
      <c r="F111" s="82"/>
      <c r="G111" s="79">
        <f t="shared" si="8"/>
        <v>34</v>
      </c>
      <c r="H111" s="79">
        <f t="shared" si="7"/>
        <v>42</v>
      </c>
      <c r="I111" s="89"/>
    </row>
    <row r="112" s="52" customFormat="1" ht="22.5" customHeight="1" spans="1:230">
      <c r="A112" s="73">
        <v>106</v>
      </c>
      <c r="B112" s="74"/>
      <c r="C112" s="95" t="s">
        <v>229</v>
      </c>
      <c r="D112" s="82">
        <v>0</v>
      </c>
      <c r="E112" s="82">
        <v>31</v>
      </c>
      <c r="F112" s="82">
        <v>0</v>
      </c>
      <c r="G112" s="79">
        <f t="shared" si="8"/>
        <v>31</v>
      </c>
      <c r="H112" s="79">
        <f t="shared" si="7"/>
        <v>31</v>
      </c>
      <c r="I112" s="91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4"/>
      <c r="DU112" s="54"/>
      <c r="DV112" s="54"/>
      <c r="DW112" s="54"/>
      <c r="DX112" s="54"/>
      <c r="DY112" s="54"/>
      <c r="DZ112" s="54"/>
      <c r="EA112" s="54"/>
      <c r="EB112" s="54"/>
      <c r="EC112" s="54"/>
      <c r="ED112" s="54"/>
      <c r="EE112" s="54"/>
      <c r="EF112" s="54"/>
      <c r="EG112" s="54"/>
      <c r="EH112" s="54"/>
      <c r="EI112" s="54"/>
      <c r="EJ112" s="54"/>
      <c r="EK112" s="54"/>
      <c r="EL112" s="54"/>
      <c r="EM112" s="54"/>
      <c r="EN112" s="54"/>
      <c r="EO112" s="54"/>
      <c r="EP112" s="54"/>
      <c r="EQ112" s="54"/>
      <c r="ER112" s="54"/>
      <c r="ES112" s="54"/>
      <c r="ET112" s="54"/>
      <c r="EU112" s="54"/>
      <c r="EV112" s="54"/>
      <c r="EW112" s="54"/>
      <c r="EX112" s="54"/>
      <c r="EY112" s="54"/>
      <c r="EZ112" s="54"/>
      <c r="FA112" s="54"/>
      <c r="FB112" s="54"/>
      <c r="FC112" s="54"/>
      <c r="FD112" s="54"/>
      <c r="FE112" s="54"/>
      <c r="FF112" s="54"/>
      <c r="FG112" s="54"/>
      <c r="FH112" s="54"/>
      <c r="FI112" s="54"/>
      <c r="FJ112" s="54"/>
      <c r="FK112" s="54"/>
      <c r="FL112" s="54"/>
      <c r="FM112" s="54"/>
      <c r="FN112" s="54"/>
      <c r="FO112" s="54"/>
      <c r="FP112" s="54"/>
      <c r="FQ112" s="54"/>
      <c r="FR112" s="54"/>
      <c r="FS112" s="54"/>
      <c r="FT112" s="54"/>
      <c r="FU112" s="54"/>
      <c r="FV112" s="54"/>
      <c r="FW112" s="54"/>
      <c r="FX112" s="54"/>
      <c r="FY112" s="54"/>
      <c r="FZ112" s="54"/>
      <c r="GA112" s="54"/>
      <c r="GB112" s="54"/>
      <c r="GC112" s="54"/>
      <c r="GD112" s="54"/>
      <c r="GE112" s="54"/>
      <c r="GF112" s="54"/>
      <c r="GG112" s="54"/>
      <c r="GH112" s="54"/>
      <c r="GI112" s="54"/>
      <c r="GJ112" s="54"/>
      <c r="GK112" s="54"/>
      <c r="GL112" s="54"/>
      <c r="GM112" s="54"/>
      <c r="GN112" s="54"/>
      <c r="GO112" s="54"/>
      <c r="GP112" s="54"/>
      <c r="GQ112" s="54"/>
      <c r="GR112" s="54"/>
      <c r="GS112" s="54"/>
      <c r="GT112" s="54"/>
      <c r="GU112" s="54"/>
      <c r="GV112" s="54"/>
      <c r="GW112" s="54"/>
      <c r="GX112" s="54"/>
      <c r="GY112" s="54"/>
      <c r="GZ112" s="54"/>
      <c r="HA112" s="54"/>
      <c r="HB112" s="54"/>
      <c r="HC112" s="54"/>
      <c r="HD112" s="54"/>
      <c r="HE112" s="54"/>
      <c r="HF112" s="54"/>
      <c r="HG112" s="54"/>
      <c r="HH112" s="54"/>
      <c r="HI112" s="54"/>
      <c r="HJ112" s="54"/>
      <c r="HK112" s="54"/>
      <c r="HL112" s="54"/>
      <c r="HM112" s="54"/>
      <c r="HN112" s="54"/>
      <c r="HO112" s="54"/>
      <c r="HP112" s="54"/>
      <c r="HQ112" s="54"/>
      <c r="HR112" s="54"/>
      <c r="HS112" s="54"/>
      <c r="HT112" s="54"/>
      <c r="HU112" s="54"/>
      <c r="HV112" s="54"/>
    </row>
    <row r="113" s="52" customFormat="1" ht="28" customHeight="1" spans="1:9">
      <c r="A113" s="73">
        <v>107</v>
      </c>
      <c r="B113" s="74"/>
      <c r="C113" s="95" t="s">
        <v>230</v>
      </c>
      <c r="D113" s="82">
        <v>75</v>
      </c>
      <c r="E113" s="82"/>
      <c r="F113" s="82"/>
      <c r="G113" s="79">
        <f t="shared" si="8"/>
        <v>0</v>
      </c>
      <c r="H113" s="79">
        <f t="shared" si="7"/>
        <v>75</v>
      </c>
      <c r="I113" s="89"/>
    </row>
    <row r="114" s="52" customFormat="1" ht="33" customHeight="1" spans="1:9">
      <c r="A114" s="73">
        <v>108</v>
      </c>
      <c r="B114" s="74"/>
      <c r="C114" s="95" t="s">
        <v>231</v>
      </c>
      <c r="D114" s="82">
        <v>0</v>
      </c>
      <c r="E114" s="82">
        <v>0</v>
      </c>
      <c r="F114" s="82">
        <v>0</v>
      </c>
      <c r="G114" s="79">
        <f t="shared" si="8"/>
        <v>0</v>
      </c>
      <c r="H114" s="79">
        <f t="shared" si="7"/>
        <v>0</v>
      </c>
      <c r="I114" s="89"/>
    </row>
    <row r="115" s="52" customFormat="1" ht="22.5" customHeight="1" spans="1:9">
      <c r="A115" s="73">
        <v>109</v>
      </c>
      <c r="B115" s="74"/>
      <c r="C115" s="95" t="s">
        <v>232</v>
      </c>
      <c r="D115" s="82">
        <v>0</v>
      </c>
      <c r="E115" s="82">
        <v>0</v>
      </c>
      <c r="F115" s="82">
        <v>0</v>
      </c>
      <c r="G115" s="79">
        <f t="shared" si="8"/>
        <v>0</v>
      </c>
      <c r="H115" s="79">
        <f t="shared" si="7"/>
        <v>0</v>
      </c>
      <c r="I115" s="89"/>
    </row>
    <row r="116" s="52" customFormat="1" ht="22.5" customHeight="1" spans="1:9">
      <c r="A116" s="73">
        <v>110</v>
      </c>
      <c r="B116" s="96"/>
      <c r="C116" s="95" t="s">
        <v>233</v>
      </c>
      <c r="D116" s="82">
        <v>0</v>
      </c>
      <c r="E116" s="82">
        <v>0</v>
      </c>
      <c r="F116" s="82">
        <v>0</v>
      </c>
      <c r="G116" s="79">
        <f t="shared" si="8"/>
        <v>0</v>
      </c>
      <c r="H116" s="79">
        <f t="shared" si="7"/>
        <v>0</v>
      </c>
      <c r="I116" s="89"/>
    </row>
    <row r="117" s="52" customFormat="1" ht="22.5" customHeight="1" spans="1:9">
      <c r="A117" s="73">
        <v>111</v>
      </c>
      <c r="B117" s="74" t="s">
        <v>234</v>
      </c>
      <c r="C117" s="97" t="s">
        <v>235</v>
      </c>
      <c r="D117" s="82">
        <v>40864</v>
      </c>
      <c r="E117" s="82">
        <f t="shared" ref="E117:G117" si="10">SUM(E118,E122,E123)</f>
        <v>7318.89</v>
      </c>
      <c r="F117" s="82">
        <f t="shared" si="10"/>
        <v>2926</v>
      </c>
      <c r="G117" s="79">
        <f t="shared" si="8"/>
        <v>4392.89</v>
      </c>
      <c r="H117" s="79">
        <f t="shared" si="7"/>
        <v>45256.89</v>
      </c>
      <c r="I117" s="89"/>
    </row>
    <row r="118" s="52" customFormat="1" ht="22.5" customHeight="1" spans="1:9">
      <c r="A118" s="73">
        <v>112</v>
      </c>
      <c r="B118" s="74"/>
      <c r="C118" s="81" t="s">
        <v>236</v>
      </c>
      <c r="D118" s="82">
        <f>SUM(D119)</f>
        <v>2406</v>
      </c>
      <c r="E118" s="82">
        <f>SUM(E119)</f>
        <v>108.45</v>
      </c>
      <c r="F118" s="82">
        <f>SUM(F119)</f>
        <v>3</v>
      </c>
      <c r="G118" s="82">
        <f>SUM(G119)</f>
        <v>105.45</v>
      </c>
      <c r="H118" s="82">
        <f>SUM(H119)</f>
        <v>2511.45</v>
      </c>
      <c r="I118" s="89"/>
    </row>
    <row r="119" s="52" customFormat="1" ht="22.5" customHeight="1" spans="1:9">
      <c r="A119" s="73">
        <v>113</v>
      </c>
      <c r="B119" s="74"/>
      <c r="C119" s="98" t="s">
        <v>237</v>
      </c>
      <c r="D119" s="82">
        <f>SUM(D120:D121)</f>
        <v>2406</v>
      </c>
      <c r="E119" s="82">
        <f>SUM(E120:E121)</f>
        <v>108.45</v>
      </c>
      <c r="F119" s="82">
        <f>SUM(F120:F121)</f>
        <v>3</v>
      </c>
      <c r="G119" s="82">
        <f>SUM(G120:G121)</f>
        <v>105.45</v>
      </c>
      <c r="H119" s="82">
        <f>SUM(H120:H121)</f>
        <v>2511.45</v>
      </c>
      <c r="I119" s="89"/>
    </row>
    <row r="120" s="52" customFormat="1" ht="22.5" customHeight="1" spans="1:9">
      <c r="A120" s="73">
        <v>114</v>
      </c>
      <c r="B120" s="74"/>
      <c r="C120" s="99" t="s">
        <v>238</v>
      </c>
      <c r="D120" s="82">
        <v>2392</v>
      </c>
      <c r="E120" s="82">
        <v>108.45</v>
      </c>
      <c r="F120" s="82"/>
      <c r="G120" s="79">
        <f t="shared" si="8"/>
        <v>108.45</v>
      </c>
      <c r="H120" s="79">
        <f t="shared" si="7"/>
        <v>2500.45</v>
      </c>
      <c r="I120" s="89"/>
    </row>
    <row r="121" s="52" customFormat="1" ht="22.5" customHeight="1" spans="1:9">
      <c r="A121" s="73">
        <v>115</v>
      </c>
      <c r="B121" s="74" t="s">
        <v>234</v>
      </c>
      <c r="C121" s="99" t="s">
        <v>239</v>
      </c>
      <c r="D121" s="82">
        <v>14</v>
      </c>
      <c r="E121" s="82"/>
      <c r="F121" s="82">
        <v>3</v>
      </c>
      <c r="G121" s="79">
        <f t="shared" si="8"/>
        <v>-3</v>
      </c>
      <c r="H121" s="79">
        <f t="shared" si="7"/>
        <v>11</v>
      </c>
      <c r="I121" s="89"/>
    </row>
    <row r="122" s="52" customFormat="1" ht="22.5" customHeight="1" spans="1:9">
      <c r="A122" s="73">
        <v>116</v>
      </c>
      <c r="B122" s="74"/>
      <c r="C122" s="81" t="s">
        <v>240</v>
      </c>
      <c r="D122" s="82">
        <v>6378</v>
      </c>
      <c r="E122" s="82">
        <f>0.23+5.4+1.5</f>
        <v>7.13</v>
      </c>
      <c r="F122" s="82"/>
      <c r="G122" s="79">
        <f t="shared" si="8"/>
        <v>7.13</v>
      </c>
      <c r="H122" s="79">
        <f t="shared" si="7"/>
        <v>6385.13</v>
      </c>
      <c r="I122" s="89"/>
    </row>
    <row r="123" s="52" customFormat="1" ht="22.5" customHeight="1" spans="1:9">
      <c r="A123" s="73">
        <v>117</v>
      </c>
      <c r="B123" s="74"/>
      <c r="C123" s="81" t="s">
        <v>241</v>
      </c>
      <c r="D123" s="82">
        <f>SUM(D124:D129)</f>
        <v>32080</v>
      </c>
      <c r="E123" s="82">
        <f>SUM(E124:E129)</f>
        <v>7203.31</v>
      </c>
      <c r="F123" s="82">
        <f>SUM(F124:F129)</f>
        <v>2923</v>
      </c>
      <c r="G123" s="82">
        <f>SUM(G124:G129)</f>
        <v>4280.31</v>
      </c>
      <c r="H123" s="82">
        <f>SUM(H124:H129)</f>
        <v>36360.31</v>
      </c>
      <c r="I123" s="89"/>
    </row>
    <row r="124" s="52" customFormat="1" ht="22.5" customHeight="1" spans="1:9">
      <c r="A124" s="73">
        <v>118</v>
      </c>
      <c r="B124" s="74"/>
      <c r="C124" s="80" t="s">
        <v>242</v>
      </c>
      <c r="D124" s="82">
        <v>3195</v>
      </c>
      <c r="E124" s="82">
        <v>16.28</v>
      </c>
      <c r="F124" s="82"/>
      <c r="G124" s="79">
        <f t="shared" si="8"/>
        <v>16.28</v>
      </c>
      <c r="H124" s="79">
        <f t="shared" si="7"/>
        <v>3211.28</v>
      </c>
      <c r="I124" s="89"/>
    </row>
    <row r="125" s="52" customFormat="1" ht="22.5" customHeight="1" spans="1:9">
      <c r="A125" s="73">
        <v>119</v>
      </c>
      <c r="B125" s="74"/>
      <c r="C125" s="80" t="s">
        <v>243</v>
      </c>
      <c r="D125" s="82">
        <v>0</v>
      </c>
      <c r="E125" s="82">
        <v>1940</v>
      </c>
      <c r="F125" s="82">
        <v>0</v>
      </c>
      <c r="G125" s="79">
        <f t="shared" si="8"/>
        <v>1940</v>
      </c>
      <c r="H125" s="79">
        <f t="shared" si="7"/>
        <v>1940</v>
      </c>
      <c r="I125" s="89"/>
    </row>
    <row r="126" s="52" customFormat="1" ht="22.5" customHeight="1" spans="1:9">
      <c r="A126" s="73">
        <v>120</v>
      </c>
      <c r="B126" s="74"/>
      <c r="C126" s="80" t="s">
        <v>244</v>
      </c>
      <c r="D126" s="82">
        <v>5765</v>
      </c>
      <c r="E126" s="82">
        <v>4911</v>
      </c>
      <c r="F126" s="82"/>
      <c r="G126" s="79">
        <f t="shared" si="8"/>
        <v>4911</v>
      </c>
      <c r="H126" s="79">
        <f t="shared" si="7"/>
        <v>10676</v>
      </c>
      <c r="I126" s="89"/>
    </row>
    <row r="127" s="52" customFormat="1" ht="22.5" customHeight="1" spans="1:9">
      <c r="A127" s="73">
        <v>121</v>
      </c>
      <c r="B127" s="74"/>
      <c r="C127" s="80" t="s">
        <v>245</v>
      </c>
      <c r="D127" s="82">
        <v>1777</v>
      </c>
      <c r="E127" s="82"/>
      <c r="F127" s="82"/>
      <c r="G127" s="79">
        <f t="shared" si="8"/>
        <v>0</v>
      </c>
      <c r="H127" s="79">
        <f t="shared" si="7"/>
        <v>1777</v>
      </c>
      <c r="I127" s="89"/>
    </row>
    <row r="128" s="52" customFormat="1" ht="22.5" customHeight="1" spans="1:9">
      <c r="A128" s="73">
        <v>122</v>
      </c>
      <c r="B128" s="74"/>
      <c r="C128" s="80" t="s">
        <v>246</v>
      </c>
      <c r="D128" s="82">
        <v>5856</v>
      </c>
      <c r="E128" s="82"/>
      <c r="F128" s="82"/>
      <c r="G128" s="79">
        <f t="shared" si="8"/>
        <v>0</v>
      </c>
      <c r="H128" s="79">
        <f t="shared" si="7"/>
        <v>5856</v>
      </c>
      <c r="I128" s="89"/>
    </row>
    <row r="129" s="52" customFormat="1" ht="22.5" customHeight="1" spans="1:9">
      <c r="A129" s="73">
        <v>123</v>
      </c>
      <c r="B129" s="74"/>
      <c r="C129" s="80" t="s">
        <v>247</v>
      </c>
      <c r="D129" s="82">
        <v>15487</v>
      </c>
      <c r="E129" s="82">
        <f>5.46+330.57</f>
        <v>336.03</v>
      </c>
      <c r="F129" s="82">
        <v>2923</v>
      </c>
      <c r="G129" s="79">
        <f t="shared" si="8"/>
        <v>-2586.97</v>
      </c>
      <c r="H129" s="79">
        <f t="shared" si="7"/>
        <v>12900.03</v>
      </c>
      <c r="I129" s="89"/>
    </row>
    <row r="130" s="55" customFormat="1" ht="89" customHeight="1" spans="1:9">
      <c r="A130" s="73">
        <v>124</v>
      </c>
      <c r="B130" s="100" t="s">
        <v>248</v>
      </c>
      <c r="C130" s="100"/>
      <c r="D130" s="101">
        <v>107806</v>
      </c>
      <c r="E130" s="101">
        <v>15404</v>
      </c>
      <c r="F130" s="101"/>
      <c r="G130" s="76">
        <f t="shared" si="8"/>
        <v>15404</v>
      </c>
      <c r="H130" s="76">
        <f t="shared" si="7"/>
        <v>123210</v>
      </c>
      <c r="I130" s="90"/>
    </row>
    <row r="131" s="55" customFormat="1" ht="86" customHeight="1" spans="1:9">
      <c r="A131" s="73">
        <v>125</v>
      </c>
      <c r="B131" s="102" t="s">
        <v>249</v>
      </c>
      <c r="C131" s="103"/>
      <c r="D131" s="101">
        <v>51155</v>
      </c>
      <c r="E131" s="101"/>
      <c r="F131" s="101">
        <f>5114+5170+360+8+11-264-6</f>
        <v>10393</v>
      </c>
      <c r="G131" s="76">
        <f t="shared" si="8"/>
        <v>-10393</v>
      </c>
      <c r="H131" s="76">
        <f t="shared" si="7"/>
        <v>40762</v>
      </c>
      <c r="I131" s="90"/>
    </row>
    <row r="132" s="55" customFormat="1" ht="80" customHeight="1" spans="1:9">
      <c r="A132" s="73">
        <v>126</v>
      </c>
      <c r="B132" s="100" t="s">
        <v>250</v>
      </c>
      <c r="C132" s="104" t="s">
        <v>250</v>
      </c>
      <c r="D132" s="79">
        <v>4500</v>
      </c>
      <c r="E132" s="79"/>
      <c r="F132" s="79">
        <v>4500</v>
      </c>
      <c r="G132" s="79">
        <f t="shared" si="8"/>
        <v>-4500</v>
      </c>
      <c r="H132" s="79">
        <f t="shared" si="7"/>
        <v>0</v>
      </c>
      <c r="I132" s="90"/>
    </row>
    <row r="133" ht="39" customHeight="1" spans="1:9">
      <c r="A133" s="73">
        <v>127</v>
      </c>
      <c r="B133" s="105" t="s">
        <v>251</v>
      </c>
      <c r="C133" s="106" t="s">
        <v>251</v>
      </c>
      <c r="D133" s="107">
        <f>SUM(D134:D137)</f>
        <v>16000</v>
      </c>
      <c r="E133" s="107">
        <f>SUM(E134:E137)</f>
        <v>0</v>
      </c>
      <c r="F133" s="107">
        <f>SUM(F134:F137)</f>
        <v>11099</v>
      </c>
      <c r="G133" s="107">
        <f>SUM(G134:G137)</f>
        <v>-11099</v>
      </c>
      <c r="H133" s="107">
        <f>SUM(H134:H137)</f>
        <v>4901</v>
      </c>
      <c r="I133" s="91"/>
    </row>
    <row r="134" ht="52" customHeight="1" spans="1:9">
      <c r="A134" s="73">
        <v>128</v>
      </c>
      <c r="B134" s="105"/>
      <c r="C134" s="108" t="s">
        <v>252</v>
      </c>
      <c r="D134" s="79">
        <v>3500</v>
      </c>
      <c r="E134" s="79"/>
      <c r="F134" s="79">
        <v>3500</v>
      </c>
      <c r="G134" s="79">
        <f t="shared" si="8"/>
        <v>-3500</v>
      </c>
      <c r="H134" s="79">
        <f t="shared" si="7"/>
        <v>0</v>
      </c>
      <c r="I134" s="90"/>
    </row>
    <row r="135" ht="30" customHeight="1" spans="1:9">
      <c r="A135" s="73">
        <v>129</v>
      </c>
      <c r="B135" s="105"/>
      <c r="C135" s="108" t="s">
        <v>253</v>
      </c>
      <c r="D135" s="79">
        <v>4000</v>
      </c>
      <c r="E135" s="79"/>
      <c r="F135" s="79">
        <v>99</v>
      </c>
      <c r="G135" s="79">
        <f t="shared" si="8"/>
        <v>-99</v>
      </c>
      <c r="H135" s="79">
        <f t="shared" si="7"/>
        <v>3901</v>
      </c>
      <c r="I135" s="90"/>
    </row>
    <row r="136" ht="28" customHeight="1" spans="1:9">
      <c r="A136" s="73">
        <v>130</v>
      </c>
      <c r="B136" s="105"/>
      <c r="C136" s="108" t="s">
        <v>254</v>
      </c>
      <c r="D136" s="79">
        <v>7500</v>
      </c>
      <c r="E136" s="79"/>
      <c r="F136" s="79">
        <v>7500</v>
      </c>
      <c r="G136" s="79">
        <f t="shared" si="8"/>
        <v>-7500</v>
      </c>
      <c r="H136" s="79">
        <f t="shared" si="7"/>
        <v>0</v>
      </c>
      <c r="I136" s="90"/>
    </row>
    <row r="137" ht="33" customHeight="1" spans="1:9">
      <c r="A137" s="73">
        <v>131</v>
      </c>
      <c r="B137" s="109"/>
      <c r="C137" s="108" t="s">
        <v>255</v>
      </c>
      <c r="D137" s="79">
        <v>1000</v>
      </c>
      <c r="E137" s="79"/>
      <c r="F137" s="79"/>
      <c r="G137" s="79">
        <f t="shared" si="8"/>
        <v>0</v>
      </c>
      <c r="H137" s="79">
        <f t="shared" si="7"/>
        <v>1000</v>
      </c>
      <c r="I137" s="90"/>
    </row>
    <row r="139" customHeight="1" spans="2:2">
      <c r="B139" s="52" t="s">
        <v>256</v>
      </c>
    </row>
  </sheetData>
  <mergeCells count="19">
    <mergeCell ref="A2:H2"/>
    <mergeCell ref="A6:C6"/>
    <mergeCell ref="B130:C130"/>
    <mergeCell ref="B131:C131"/>
    <mergeCell ref="A4:A5"/>
    <mergeCell ref="B4:B5"/>
    <mergeCell ref="B7:B43"/>
    <mergeCell ref="B44:B81"/>
    <mergeCell ref="B82:B116"/>
    <mergeCell ref="B117:B120"/>
    <mergeCell ref="B121:B129"/>
    <mergeCell ref="B133:B137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708333333333333" right="0.708333333333333" top="0.747916666666667" bottom="0.747916666666667" header="0.314583333333333" footer="0.314583333333333"/>
  <pageSetup paperSize="9" scale="61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8" sqref="F8"/>
    </sheetView>
  </sheetViews>
  <sheetFormatPr defaultColWidth="9" defaultRowHeight="13.5" outlineLevelCol="5"/>
  <cols>
    <col min="2" max="2" width="31.25" customWidth="1"/>
    <col min="3" max="3" width="17.25" customWidth="1"/>
    <col min="4" max="4" width="19.25" customWidth="1"/>
    <col min="5" max="5" width="18" customWidth="1"/>
    <col min="6" max="6" width="24.625" customWidth="1"/>
  </cols>
  <sheetData>
    <row r="1" spans="1:1">
      <c r="A1" t="s">
        <v>257</v>
      </c>
    </row>
    <row r="2" ht="50" customHeight="1" spans="1:6">
      <c r="A2" s="44" t="s">
        <v>258</v>
      </c>
      <c r="B2" s="44"/>
      <c r="C2" s="44"/>
      <c r="D2" s="44"/>
      <c r="E2" s="44"/>
      <c r="F2" s="44"/>
    </row>
    <row r="3" spans="6:6">
      <c r="F3" s="45" t="s">
        <v>2</v>
      </c>
    </row>
    <row r="4" ht="61" customHeight="1" spans="1:6">
      <c r="A4" s="46" t="s">
        <v>37</v>
      </c>
      <c r="B4" s="46" t="s">
        <v>259</v>
      </c>
      <c r="C4" s="46" t="s">
        <v>39</v>
      </c>
      <c r="D4" s="46" t="s">
        <v>260</v>
      </c>
      <c r="E4" s="46" t="s">
        <v>5</v>
      </c>
      <c r="F4" s="46" t="s">
        <v>43</v>
      </c>
    </row>
    <row r="5" ht="48" customHeight="1" spans="1:6">
      <c r="A5" s="47" t="s">
        <v>261</v>
      </c>
      <c r="B5" s="48"/>
      <c r="C5" s="46">
        <f>SUM(C6:C8)</f>
        <v>3271</v>
      </c>
      <c r="D5" s="46">
        <f>SUM(D6:D8)</f>
        <v>2923</v>
      </c>
      <c r="E5" s="46">
        <f>SUM(E6:E8)</f>
        <v>348</v>
      </c>
      <c r="F5" s="46"/>
    </row>
    <row r="6" ht="57" customHeight="1" spans="1:6">
      <c r="A6" s="46">
        <v>1</v>
      </c>
      <c r="B6" s="49" t="s">
        <v>262</v>
      </c>
      <c r="C6" s="50">
        <v>971</v>
      </c>
      <c r="D6" s="50">
        <v>623</v>
      </c>
      <c r="E6" s="50">
        <f>C6-D6</f>
        <v>348</v>
      </c>
      <c r="F6" s="51" t="s">
        <v>263</v>
      </c>
    </row>
    <row r="7" ht="57" customHeight="1" spans="1:6">
      <c r="A7" s="46">
        <v>2</v>
      </c>
      <c r="B7" s="49" t="s">
        <v>264</v>
      </c>
      <c r="C7" s="50">
        <v>2200</v>
      </c>
      <c r="D7" s="50">
        <v>2200</v>
      </c>
      <c r="E7" s="50">
        <f>C7-D7</f>
        <v>0</v>
      </c>
      <c r="F7" s="51" t="s">
        <v>265</v>
      </c>
    </row>
    <row r="8" ht="57" customHeight="1" spans="1:6">
      <c r="A8" s="46">
        <v>3</v>
      </c>
      <c r="B8" s="50" t="s">
        <v>266</v>
      </c>
      <c r="C8" s="50">
        <v>100</v>
      </c>
      <c r="D8" s="50">
        <v>100</v>
      </c>
      <c r="E8" s="50">
        <f>C8-D8</f>
        <v>0</v>
      </c>
      <c r="F8" s="51" t="s">
        <v>267</v>
      </c>
    </row>
    <row r="9" ht="57" customHeight="1"/>
    <row r="10" ht="57" customHeight="1"/>
  </sheetData>
  <mergeCells count="2">
    <mergeCell ref="A2:F2"/>
    <mergeCell ref="A5:B5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view="pageBreakPreview" zoomScaleNormal="100" topLeftCell="B1" workbookViewId="0">
      <selection activeCell="K6" sqref="K6"/>
    </sheetView>
  </sheetViews>
  <sheetFormatPr defaultColWidth="9" defaultRowHeight="17.25" outlineLevelCol="7"/>
  <cols>
    <col min="1" max="1" width="14.875" style="5" customWidth="1"/>
    <col min="2" max="2" width="48.125" style="6" customWidth="1"/>
    <col min="3" max="3" width="15" style="7" customWidth="1"/>
    <col min="4" max="4" width="14" style="7" customWidth="1"/>
    <col min="5" max="5" width="15.25" style="7" customWidth="1"/>
    <col min="6" max="6" width="14.875" style="7" customWidth="1"/>
    <col min="7" max="7" width="14.125" style="7" customWidth="1"/>
    <col min="8" max="8" width="16.125" customWidth="1"/>
  </cols>
  <sheetData>
    <row r="1" customFormat="1" customHeight="1" spans="1:7">
      <c r="A1" s="8" t="s">
        <v>268</v>
      </c>
      <c r="B1" s="9"/>
      <c r="C1" s="10"/>
      <c r="D1" s="10"/>
      <c r="E1" s="10"/>
      <c r="F1" s="10"/>
      <c r="G1" s="10"/>
    </row>
    <row r="2" ht="26.25" customHeight="1" spans="1:8">
      <c r="A2" s="11" t="s">
        <v>269</v>
      </c>
      <c r="B2" s="11"/>
      <c r="C2" s="11"/>
      <c r="D2" s="11"/>
      <c r="E2" s="11"/>
      <c r="F2" s="11"/>
      <c r="G2" s="11"/>
      <c r="H2" s="11"/>
    </row>
    <row r="3" ht="14.25" spans="1:8">
      <c r="A3" s="12"/>
      <c r="B3" s="13"/>
      <c r="C3" s="14"/>
      <c r="D3" s="14"/>
      <c r="E3" s="14"/>
      <c r="F3" s="14"/>
      <c r="G3" s="14"/>
      <c r="H3" s="14" t="s">
        <v>2</v>
      </c>
    </row>
    <row r="4" s="1" customFormat="1" ht="42" customHeight="1" spans="1:8">
      <c r="A4" s="15" t="s">
        <v>37</v>
      </c>
      <c r="B4" s="15" t="s">
        <v>38</v>
      </c>
      <c r="C4" s="15" t="s">
        <v>4</v>
      </c>
      <c r="D4" s="16" t="s">
        <v>40</v>
      </c>
      <c r="E4" s="16" t="s">
        <v>41</v>
      </c>
      <c r="F4" s="16" t="s">
        <v>42</v>
      </c>
      <c r="G4" s="16" t="s">
        <v>5</v>
      </c>
      <c r="H4" s="15" t="s">
        <v>43</v>
      </c>
    </row>
    <row r="5" s="2" customFormat="1" ht="33" customHeight="1" spans="1:8">
      <c r="A5" s="15" t="s">
        <v>270</v>
      </c>
      <c r="B5" s="15"/>
      <c r="C5" s="36">
        <f>SUM(C6,C13)</f>
        <v>61298</v>
      </c>
      <c r="D5" s="36">
        <f>SUM(D6,D13)</f>
        <v>35079</v>
      </c>
      <c r="E5" s="36">
        <f>SUM(E6,E13)</f>
        <v>30266</v>
      </c>
      <c r="F5" s="36">
        <f>SUM(F6,F13)</f>
        <v>4813</v>
      </c>
      <c r="G5" s="36">
        <f>SUM(G6,G13)</f>
        <v>66111</v>
      </c>
      <c r="H5" s="25"/>
    </row>
    <row r="6" s="3" customFormat="1" ht="33" customHeight="1" spans="1:8">
      <c r="A6" s="37" t="s">
        <v>271</v>
      </c>
      <c r="B6" s="38"/>
      <c r="C6" s="39">
        <f>SUM(C7,C8,C12)</f>
        <v>42424</v>
      </c>
      <c r="D6" s="39">
        <f>SUM(D7,D8,D12)</f>
        <v>429</v>
      </c>
      <c r="E6" s="39">
        <f>SUM(E7,E8,E12)</f>
        <v>28108</v>
      </c>
      <c r="F6" s="39">
        <f>SUM(F7,F8,F12)</f>
        <v>-27679</v>
      </c>
      <c r="G6" s="39">
        <f>SUM(G7,G8,G12)</f>
        <v>14745</v>
      </c>
      <c r="H6" s="25"/>
    </row>
    <row r="7" s="4" customFormat="1" ht="49" customHeight="1" spans="1:8">
      <c r="A7" s="22" t="s">
        <v>10</v>
      </c>
      <c r="B7" s="23" t="s">
        <v>272</v>
      </c>
      <c r="C7" s="40">
        <v>40000</v>
      </c>
      <c r="D7" s="40"/>
      <c r="E7" s="40">
        <f>40000-14000</f>
        <v>26000</v>
      </c>
      <c r="F7" s="40">
        <f>D7-E7</f>
        <v>-26000</v>
      </c>
      <c r="G7" s="40">
        <f>C7+F7</f>
        <v>14000</v>
      </c>
      <c r="H7" s="25"/>
    </row>
    <row r="8" s="4" customFormat="1" ht="33" customHeight="1" spans="1:8">
      <c r="A8" s="22" t="s">
        <v>14</v>
      </c>
      <c r="B8" s="23" t="s">
        <v>273</v>
      </c>
      <c r="C8" s="40">
        <f>SUM(C9:C11)</f>
        <v>2174</v>
      </c>
      <c r="D8" s="40">
        <f>SUM(D9:D11)</f>
        <v>419</v>
      </c>
      <c r="E8" s="40">
        <f>SUM(E9:E11)</f>
        <v>2108</v>
      </c>
      <c r="F8" s="40">
        <f>SUM(F9:F11)</f>
        <v>-1689</v>
      </c>
      <c r="G8" s="40">
        <f>SUM(G9:G11)</f>
        <v>485</v>
      </c>
      <c r="H8" s="25"/>
    </row>
    <row r="9" s="4" customFormat="1" ht="33" customHeight="1" spans="1:8">
      <c r="A9" s="22" t="s">
        <v>274</v>
      </c>
      <c r="B9" s="23" t="s">
        <v>275</v>
      </c>
      <c r="C9" s="40">
        <v>1639</v>
      </c>
      <c r="D9" s="40"/>
      <c r="E9" s="40">
        <v>1639</v>
      </c>
      <c r="F9" s="40">
        <f>D9-E9</f>
        <v>-1639</v>
      </c>
      <c r="G9" s="40">
        <f>C9+F9</f>
        <v>0</v>
      </c>
      <c r="H9" s="25"/>
    </row>
    <row r="10" s="4" customFormat="1" ht="33" customHeight="1" spans="1:8">
      <c r="A10" s="22" t="s">
        <v>276</v>
      </c>
      <c r="B10" s="23" t="s">
        <v>277</v>
      </c>
      <c r="C10" s="40">
        <v>535</v>
      </c>
      <c r="D10" s="40"/>
      <c r="E10" s="40">
        <v>469</v>
      </c>
      <c r="F10" s="40">
        <f t="shared" ref="F10:F16" si="0">D10-E10</f>
        <v>-469</v>
      </c>
      <c r="G10" s="40">
        <f>C10+F10</f>
        <v>66</v>
      </c>
      <c r="H10" s="25"/>
    </row>
    <row r="11" s="4" customFormat="1" ht="33" customHeight="1" spans="1:8">
      <c r="A11" s="22" t="s">
        <v>278</v>
      </c>
      <c r="B11" s="23" t="s">
        <v>279</v>
      </c>
      <c r="C11" s="40"/>
      <c r="D11" s="40">
        <v>419</v>
      </c>
      <c r="E11" s="40"/>
      <c r="F11" s="40">
        <f t="shared" si="0"/>
        <v>419</v>
      </c>
      <c r="G11" s="40">
        <f t="shared" ref="G10:G16" si="1">C11+F11</f>
        <v>419</v>
      </c>
      <c r="H11" s="25"/>
    </row>
    <row r="12" s="4" customFormat="1" ht="25.5" customHeight="1" spans="1:8">
      <c r="A12" s="22" t="s">
        <v>23</v>
      </c>
      <c r="B12" s="23" t="s">
        <v>280</v>
      </c>
      <c r="C12" s="40">
        <v>250</v>
      </c>
      <c r="D12" s="40">
        <v>10</v>
      </c>
      <c r="E12" s="40"/>
      <c r="F12" s="40">
        <f t="shared" si="0"/>
        <v>10</v>
      </c>
      <c r="G12" s="40">
        <f t="shared" si="1"/>
        <v>260</v>
      </c>
      <c r="H12" s="25"/>
    </row>
    <row r="13" s="3" customFormat="1" ht="40" customHeight="1" spans="1:8">
      <c r="A13" s="37" t="s">
        <v>281</v>
      </c>
      <c r="B13" s="38"/>
      <c r="C13" s="39">
        <f>SUM(C14,C17,C21,C22)</f>
        <v>18874</v>
      </c>
      <c r="D13" s="39">
        <f>SUM(D14,D17,D21,D22)</f>
        <v>34650</v>
      </c>
      <c r="E13" s="39">
        <f>SUM(E14,E17,E21,E22)</f>
        <v>2158</v>
      </c>
      <c r="F13" s="39">
        <f>SUM(F14,F17,F21,F22)</f>
        <v>32492</v>
      </c>
      <c r="G13" s="39">
        <f>SUM(G14,G17,G21,G22)</f>
        <v>51366</v>
      </c>
      <c r="H13" s="25"/>
    </row>
    <row r="14" s="3" customFormat="1" ht="36" customHeight="1" spans="1:8">
      <c r="A14" s="22" t="s">
        <v>10</v>
      </c>
      <c r="B14" s="41" t="s">
        <v>282</v>
      </c>
      <c r="C14" s="40">
        <f>SUM(C15:C16)</f>
        <v>5830</v>
      </c>
      <c r="D14" s="40">
        <f>SUM(D15:D16)</f>
        <v>16000</v>
      </c>
      <c r="E14" s="40">
        <f>SUM(E15:E16)</f>
        <v>2158</v>
      </c>
      <c r="F14" s="40">
        <f>SUM(F15:F16)</f>
        <v>13842</v>
      </c>
      <c r="G14" s="40">
        <f>SUM(G15:G16)</f>
        <v>19672</v>
      </c>
      <c r="H14" s="25"/>
    </row>
    <row r="15" s="3" customFormat="1" ht="36" customHeight="1" spans="1:8">
      <c r="A15" s="22" t="s">
        <v>274</v>
      </c>
      <c r="B15" s="41" t="s">
        <v>283</v>
      </c>
      <c r="C15" s="40"/>
      <c r="D15" s="40">
        <v>16000</v>
      </c>
      <c r="E15" s="40"/>
      <c r="F15" s="40">
        <f t="shared" si="0"/>
        <v>16000</v>
      </c>
      <c r="G15" s="40">
        <f t="shared" si="1"/>
        <v>16000</v>
      </c>
      <c r="H15" s="25"/>
    </row>
    <row r="16" s="3" customFormat="1" ht="36" customHeight="1" spans="1:8">
      <c r="A16" s="22" t="s">
        <v>276</v>
      </c>
      <c r="B16" s="41" t="s">
        <v>284</v>
      </c>
      <c r="C16" s="40">
        <v>5830</v>
      </c>
      <c r="D16" s="40"/>
      <c r="E16" s="40">
        <v>2158</v>
      </c>
      <c r="F16" s="40">
        <f t="shared" si="0"/>
        <v>-2158</v>
      </c>
      <c r="G16" s="40">
        <f t="shared" si="1"/>
        <v>3672</v>
      </c>
      <c r="H16" s="25"/>
    </row>
    <row r="17" s="4" customFormat="1" ht="36" customHeight="1" spans="1:8">
      <c r="A17" s="22" t="s">
        <v>14</v>
      </c>
      <c r="B17" s="23" t="s">
        <v>285</v>
      </c>
      <c r="C17" s="42">
        <f>SUM(C18:C20)</f>
        <v>11570</v>
      </c>
      <c r="D17" s="42">
        <f>SUM(D18:D20)</f>
        <v>11138</v>
      </c>
      <c r="E17" s="42">
        <f>SUM(E18:E20)</f>
        <v>0</v>
      </c>
      <c r="F17" s="42">
        <f>SUM(F18:F20)</f>
        <v>11138</v>
      </c>
      <c r="G17" s="42">
        <f>SUM(G18:G20)</f>
        <v>22708</v>
      </c>
      <c r="H17" s="25"/>
    </row>
    <row r="18" s="4" customFormat="1" ht="36" customHeight="1" spans="1:8">
      <c r="A18" s="22" t="s">
        <v>274</v>
      </c>
      <c r="B18" s="23" t="s">
        <v>286</v>
      </c>
      <c r="C18" s="40">
        <v>11570</v>
      </c>
      <c r="D18" s="40"/>
      <c r="E18" s="40"/>
      <c r="F18" s="40">
        <f>D18-E18</f>
        <v>0</v>
      </c>
      <c r="G18" s="40">
        <f>C18+F18</f>
        <v>11570</v>
      </c>
      <c r="H18" s="25"/>
    </row>
    <row r="19" s="4" customFormat="1" ht="36" customHeight="1" spans="1:8">
      <c r="A19" s="22" t="s">
        <v>276</v>
      </c>
      <c r="B19" s="23" t="s">
        <v>287</v>
      </c>
      <c r="C19" s="40"/>
      <c r="D19" s="40"/>
      <c r="E19" s="40"/>
      <c r="F19" s="40">
        <f>D19-E19</f>
        <v>0</v>
      </c>
      <c r="G19" s="40">
        <f>C19+F19</f>
        <v>0</v>
      </c>
      <c r="H19" s="25"/>
    </row>
    <row r="20" s="4" customFormat="1" ht="36" customHeight="1" spans="1:8">
      <c r="A20" s="22" t="s">
        <v>288</v>
      </c>
      <c r="B20" s="23" t="s">
        <v>289</v>
      </c>
      <c r="C20" s="40"/>
      <c r="D20" s="40">
        <v>11138</v>
      </c>
      <c r="E20" s="40"/>
      <c r="F20" s="40">
        <f>D20-E20</f>
        <v>11138</v>
      </c>
      <c r="G20" s="40">
        <f>C20+F20</f>
        <v>11138</v>
      </c>
      <c r="H20" s="25"/>
    </row>
    <row r="21" s="3" customFormat="1" ht="62" customHeight="1" spans="1:8">
      <c r="A21" s="22" t="s">
        <v>20</v>
      </c>
      <c r="B21" s="23" t="s">
        <v>29</v>
      </c>
      <c r="C21" s="40">
        <v>1474</v>
      </c>
      <c r="D21" s="40">
        <v>2974</v>
      </c>
      <c r="E21" s="40"/>
      <c r="F21" s="40">
        <f>D21-E21</f>
        <v>2974</v>
      </c>
      <c r="G21" s="40">
        <f>C21+F21</f>
        <v>4448</v>
      </c>
      <c r="H21" s="25"/>
    </row>
    <row r="22" s="3" customFormat="1" ht="14.25" spans="1:8">
      <c r="A22" s="22" t="s">
        <v>23</v>
      </c>
      <c r="B22" s="23" t="s">
        <v>30</v>
      </c>
      <c r="C22" s="40"/>
      <c r="D22" s="40">
        <v>4538</v>
      </c>
      <c r="E22" s="40"/>
      <c r="F22" s="40">
        <f>D22-E22</f>
        <v>4538</v>
      </c>
      <c r="G22" s="40">
        <f>C22+F22</f>
        <v>4538</v>
      </c>
      <c r="H22" s="25"/>
    </row>
    <row r="23" customFormat="1" ht="24.75" customHeight="1" spans="1:8">
      <c r="A23" s="15" t="s">
        <v>290</v>
      </c>
      <c r="B23" s="15"/>
      <c r="C23" s="36">
        <f>C24+C33</f>
        <v>61298</v>
      </c>
      <c r="D23" s="36">
        <f>D24+D33</f>
        <v>24996</v>
      </c>
      <c r="E23" s="36">
        <f>E24+E33</f>
        <v>20183</v>
      </c>
      <c r="F23" s="36">
        <f>F24+F33</f>
        <v>4813</v>
      </c>
      <c r="G23" s="36">
        <f>G24+G33</f>
        <v>66111</v>
      </c>
      <c r="H23" s="25"/>
    </row>
    <row r="24" ht="24.75" customHeight="1" spans="1:8">
      <c r="A24" s="37" t="s">
        <v>291</v>
      </c>
      <c r="B24" s="38"/>
      <c r="C24" s="39">
        <f>SUM(C25:C32)</f>
        <v>25152</v>
      </c>
      <c r="D24" s="39">
        <f>SUM(D25:D32)</f>
        <v>13858</v>
      </c>
      <c r="E24" s="39">
        <f>SUM(E25:E32)</f>
        <v>6522</v>
      </c>
      <c r="F24" s="39">
        <f>SUM(F25:F32)</f>
        <v>7336</v>
      </c>
      <c r="G24" s="39">
        <f>SUM(G25:G32)</f>
        <v>32488</v>
      </c>
      <c r="H24" s="25"/>
    </row>
    <row r="25" s="4" customFormat="1" ht="35" customHeight="1" spans="1:8">
      <c r="A25" s="22" t="s">
        <v>10</v>
      </c>
      <c r="B25" s="41" t="s">
        <v>292</v>
      </c>
      <c r="C25" s="43">
        <v>4984</v>
      </c>
      <c r="D25" s="43">
        <f>5000-4984</f>
        <v>16</v>
      </c>
      <c r="E25" s="43"/>
      <c r="F25" s="40">
        <f t="shared" ref="F25:F32" si="2">D25-E25</f>
        <v>16</v>
      </c>
      <c r="G25" s="40">
        <f>C25+F25</f>
        <v>5000</v>
      </c>
      <c r="H25" s="25"/>
    </row>
    <row r="26" s="4" customFormat="1" ht="35" customHeight="1" spans="1:8">
      <c r="A26" s="22" t="s">
        <v>14</v>
      </c>
      <c r="B26" s="41" t="s">
        <v>293</v>
      </c>
      <c r="C26" s="43">
        <v>69</v>
      </c>
      <c r="D26" s="43"/>
      <c r="E26" s="43">
        <f>69-12-11</f>
        <v>46</v>
      </c>
      <c r="F26" s="40">
        <f t="shared" si="2"/>
        <v>-46</v>
      </c>
      <c r="G26" s="40">
        <f t="shared" ref="G26:G32" si="3">C26+F26</f>
        <v>23</v>
      </c>
      <c r="H26" s="25"/>
    </row>
    <row r="27" s="4" customFormat="1" ht="53" customHeight="1" spans="1:8">
      <c r="A27" s="22" t="s">
        <v>20</v>
      </c>
      <c r="B27" s="41" t="s">
        <v>294</v>
      </c>
      <c r="C27" s="43">
        <v>8945</v>
      </c>
      <c r="D27" s="43"/>
      <c r="E27" s="43">
        <f>8945-4969</f>
        <v>3976</v>
      </c>
      <c r="F27" s="40">
        <f t="shared" si="2"/>
        <v>-3976</v>
      </c>
      <c r="G27" s="40">
        <f t="shared" si="3"/>
        <v>4969</v>
      </c>
      <c r="H27" s="25"/>
    </row>
    <row r="28" s="4" customFormat="1" ht="45" customHeight="1" spans="1:8">
      <c r="A28" s="22" t="s">
        <v>23</v>
      </c>
      <c r="B28" s="41" t="s">
        <v>295</v>
      </c>
      <c r="C28" s="43">
        <v>3600</v>
      </c>
      <c r="D28" s="43"/>
      <c r="E28" s="43">
        <v>2250</v>
      </c>
      <c r="F28" s="40">
        <f t="shared" si="2"/>
        <v>-2250</v>
      </c>
      <c r="G28" s="40">
        <f t="shared" si="3"/>
        <v>1350</v>
      </c>
      <c r="H28" s="25"/>
    </row>
    <row r="29" s="4" customFormat="1" ht="56" customHeight="1" spans="1:8">
      <c r="A29" s="22" t="s">
        <v>296</v>
      </c>
      <c r="B29" s="41" t="s">
        <v>297</v>
      </c>
      <c r="C29" s="43">
        <v>250</v>
      </c>
      <c r="D29" s="43"/>
      <c r="E29" s="43">
        <v>250</v>
      </c>
      <c r="F29" s="40">
        <f t="shared" si="2"/>
        <v>-250</v>
      </c>
      <c r="G29" s="40">
        <f t="shared" si="3"/>
        <v>0</v>
      </c>
      <c r="H29" s="25"/>
    </row>
    <row r="30" s="4" customFormat="1" ht="35" customHeight="1" spans="1:8">
      <c r="A30" s="22" t="s">
        <v>298</v>
      </c>
      <c r="B30" s="41" t="s">
        <v>299</v>
      </c>
      <c r="C30" s="43"/>
      <c r="D30" s="43"/>
      <c r="E30" s="43"/>
      <c r="F30" s="40">
        <f t="shared" si="2"/>
        <v>0</v>
      </c>
      <c r="G30" s="40">
        <f t="shared" si="3"/>
        <v>0</v>
      </c>
      <c r="H30" s="25"/>
    </row>
    <row r="31" s="4" customFormat="1" ht="35" customHeight="1" spans="1:8">
      <c r="A31" s="22" t="s">
        <v>300</v>
      </c>
      <c r="B31" s="41" t="s">
        <v>301</v>
      </c>
      <c r="C31" s="43">
        <v>5830</v>
      </c>
      <c r="D31" s="43">
        <v>13842</v>
      </c>
      <c r="E31" s="43"/>
      <c r="F31" s="40">
        <f t="shared" si="2"/>
        <v>13842</v>
      </c>
      <c r="G31" s="40">
        <f t="shared" si="3"/>
        <v>19672</v>
      </c>
      <c r="H31" s="25"/>
    </row>
    <row r="32" s="4" customFormat="1" ht="14.25" spans="1:8">
      <c r="A32" s="22" t="s">
        <v>302</v>
      </c>
      <c r="B32" s="41" t="s">
        <v>303</v>
      </c>
      <c r="C32" s="43">
        <v>1474</v>
      </c>
      <c r="D32" s="43"/>
      <c r="E32" s="43"/>
      <c r="F32" s="40">
        <f t="shared" si="2"/>
        <v>0</v>
      </c>
      <c r="G32" s="40">
        <f t="shared" si="3"/>
        <v>1474</v>
      </c>
      <c r="H32" s="25"/>
    </row>
    <row r="33" ht="36" customHeight="1" spans="1:8">
      <c r="A33" s="37" t="s">
        <v>304</v>
      </c>
      <c r="B33" s="38"/>
      <c r="C33" s="36">
        <f>SUM(C34:C37)</f>
        <v>36146</v>
      </c>
      <c r="D33" s="36">
        <f>SUM(D34:D37)</f>
        <v>11138</v>
      </c>
      <c r="E33" s="36">
        <f>SUM(E34:E37)</f>
        <v>13661</v>
      </c>
      <c r="F33" s="36">
        <f>SUM(F34:F37)</f>
        <v>-2523</v>
      </c>
      <c r="G33" s="36">
        <f>SUM(G34:G37)</f>
        <v>33623</v>
      </c>
      <c r="H33" s="25"/>
    </row>
    <row r="34" s="4" customFormat="1" ht="36" customHeight="1" spans="1:8">
      <c r="A34" s="22" t="s">
        <v>10</v>
      </c>
      <c r="B34" s="41" t="s">
        <v>305</v>
      </c>
      <c r="C34" s="43">
        <v>12886</v>
      </c>
      <c r="D34" s="43">
        <v>11138</v>
      </c>
      <c r="E34" s="43"/>
      <c r="F34" s="40">
        <f t="shared" ref="F34:F37" si="4">D34-E34</f>
        <v>11138</v>
      </c>
      <c r="G34" s="40">
        <f t="shared" ref="G34:G37" si="5">C34+F34</f>
        <v>24024</v>
      </c>
      <c r="H34" s="25"/>
    </row>
    <row r="35" s="4" customFormat="1" ht="57" customHeight="1" spans="1:8">
      <c r="A35" s="22" t="s">
        <v>14</v>
      </c>
      <c r="B35" s="41" t="s">
        <v>306</v>
      </c>
      <c r="C35" s="43">
        <v>22000</v>
      </c>
      <c r="D35" s="43"/>
      <c r="E35" s="43">
        <f>22000-9506+347+1</f>
        <v>12842</v>
      </c>
      <c r="F35" s="40">
        <f t="shared" si="4"/>
        <v>-12842</v>
      </c>
      <c r="G35" s="40">
        <f t="shared" si="5"/>
        <v>9158</v>
      </c>
      <c r="H35" s="25"/>
    </row>
    <row r="36" s="4" customFormat="1" ht="14.25" spans="1:8">
      <c r="A36" s="22" t="s">
        <v>20</v>
      </c>
      <c r="B36" s="41" t="s">
        <v>18</v>
      </c>
      <c r="C36" s="43">
        <v>1260</v>
      </c>
      <c r="D36" s="43"/>
      <c r="E36" s="43">
        <f>1260-441</f>
        <v>819</v>
      </c>
      <c r="F36" s="40">
        <f t="shared" si="4"/>
        <v>-819</v>
      </c>
      <c r="G36" s="40">
        <f t="shared" si="5"/>
        <v>441</v>
      </c>
      <c r="H36" s="25"/>
    </row>
    <row r="37" s="4" customFormat="1" ht="30" customHeight="1" spans="1:8">
      <c r="A37" s="22" t="s">
        <v>23</v>
      </c>
      <c r="B37" s="41" t="s">
        <v>21</v>
      </c>
      <c r="C37" s="43"/>
      <c r="D37" s="43"/>
      <c r="E37" s="43"/>
      <c r="F37" s="40">
        <f t="shared" si="4"/>
        <v>0</v>
      </c>
      <c r="G37" s="40">
        <f t="shared" si="5"/>
        <v>0</v>
      </c>
      <c r="H37" s="25"/>
    </row>
  </sheetData>
  <mergeCells count="7">
    <mergeCell ref="A2:H2"/>
    <mergeCell ref="A5:B5"/>
    <mergeCell ref="A6:B6"/>
    <mergeCell ref="A13:B13"/>
    <mergeCell ref="A23:B23"/>
    <mergeCell ref="A24:B24"/>
    <mergeCell ref="A33:B33"/>
  </mergeCells>
  <pageMargins left="1.10208333333333" right="0.708333333333333" top="0.747916666666667" bottom="0.747916666666667" header="0.314583333333333" footer="0.314583333333333"/>
  <pageSetup paperSize="9" scale="53" fitToWidth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view="pageBreakPreview" zoomScaleNormal="100" topLeftCell="A9" workbookViewId="0">
      <selection activeCell="J7" sqref="J7"/>
    </sheetView>
  </sheetViews>
  <sheetFormatPr defaultColWidth="9" defaultRowHeight="17.25"/>
  <cols>
    <col min="1" max="1" width="12.375" style="5" customWidth="1"/>
    <col min="2" max="2" width="33.875" style="6" customWidth="1"/>
    <col min="3" max="7" width="15.625" style="7" customWidth="1"/>
    <col min="8" max="8" width="16.2583333333333" customWidth="1"/>
  </cols>
  <sheetData>
    <row r="1" customFormat="1" spans="1:7">
      <c r="A1" s="8" t="s">
        <v>307</v>
      </c>
      <c r="B1" s="9"/>
      <c r="C1" s="10"/>
      <c r="D1" s="10"/>
      <c r="E1" s="10"/>
      <c r="F1" s="10"/>
      <c r="G1" s="10"/>
    </row>
    <row r="2" ht="43.5" customHeight="1" spans="1:8">
      <c r="A2" s="11" t="s">
        <v>308</v>
      </c>
      <c r="B2" s="11"/>
      <c r="C2" s="11"/>
      <c r="D2" s="11"/>
      <c r="E2" s="11"/>
      <c r="F2" s="11"/>
      <c r="G2" s="11"/>
      <c r="H2" s="11"/>
    </row>
    <row r="3" ht="14.25" spans="1:8">
      <c r="A3" s="12"/>
      <c r="B3" s="13"/>
      <c r="C3" s="14"/>
      <c r="D3" s="14"/>
      <c r="E3" s="14"/>
      <c r="F3" s="14"/>
      <c r="G3" s="14"/>
      <c r="H3" s="14" t="s">
        <v>2</v>
      </c>
    </row>
    <row r="4" s="1" customFormat="1" ht="64" customHeight="1" spans="1:14">
      <c r="A4" s="15" t="s">
        <v>37</v>
      </c>
      <c r="B4" s="15" t="s">
        <v>38</v>
      </c>
      <c r="C4" s="15" t="s">
        <v>39</v>
      </c>
      <c r="D4" s="16" t="s">
        <v>40</v>
      </c>
      <c r="E4" s="16" t="s">
        <v>41</v>
      </c>
      <c r="F4" s="16" t="s">
        <v>42</v>
      </c>
      <c r="G4" s="16" t="s">
        <v>5</v>
      </c>
      <c r="H4" s="15" t="s">
        <v>43</v>
      </c>
      <c r="I4" s="35"/>
      <c r="J4" s="35"/>
      <c r="K4" s="35"/>
      <c r="L4" s="35"/>
      <c r="M4" s="35"/>
      <c r="N4" s="35"/>
    </row>
    <row r="5" s="2" customFormat="1" ht="64" customHeight="1" spans="1:8">
      <c r="A5" s="15" t="s">
        <v>270</v>
      </c>
      <c r="B5" s="15"/>
      <c r="C5" s="17">
        <f>SUM(C6,C8)</f>
        <v>278</v>
      </c>
      <c r="D5" s="17">
        <f>SUM(D6,D8)</f>
        <v>0</v>
      </c>
      <c r="E5" s="17">
        <f>SUM(E6,E8)</f>
        <v>32</v>
      </c>
      <c r="F5" s="17">
        <f>SUM(F6,F8)</f>
        <v>-32</v>
      </c>
      <c r="G5" s="17">
        <f>SUM(G6,G8)</f>
        <v>246</v>
      </c>
      <c r="H5" s="18"/>
    </row>
    <row r="6" s="3" customFormat="1" ht="64" customHeight="1" spans="1:8">
      <c r="A6" s="15" t="s">
        <v>7</v>
      </c>
      <c r="B6" s="19" t="s">
        <v>309</v>
      </c>
      <c r="C6" s="20">
        <f>SUM(C7)</f>
        <v>260</v>
      </c>
      <c r="D6" s="20">
        <f>SUM(D7)</f>
        <v>0</v>
      </c>
      <c r="E6" s="20">
        <f>SUM(E7)</f>
        <v>32</v>
      </c>
      <c r="F6" s="20">
        <f>SUM(F7)</f>
        <v>-32</v>
      </c>
      <c r="G6" s="20">
        <f>SUM(G7)</f>
        <v>228</v>
      </c>
      <c r="H6" s="21"/>
    </row>
    <row r="7" s="4" customFormat="1" ht="64" customHeight="1" spans="1:8">
      <c r="A7" s="22" t="s">
        <v>10</v>
      </c>
      <c r="B7" s="23" t="s">
        <v>310</v>
      </c>
      <c r="C7" s="24">
        <v>260</v>
      </c>
      <c r="D7" s="24"/>
      <c r="E7" s="24">
        <f>260-228</f>
        <v>32</v>
      </c>
      <c r="F7" s="24">
        <f t="shared" ref="F7:F10" si="0">D7-E7</f>
        <v>-32</v>
      </c>
      <c r="G7" s="24">
        <f t="shared" ref="G7:G10" si="1">C7+F7</f>
        <v>228</v>
      </c>
      <c r="H7" s="25"/>
    </row>
    <row r="8" s="3" customFormat="1" ht="64" customHeight="1" spans="1:8">
      <c r="A8" s="15" t="s">
        <v>12</v>
      </c>
      <c r="B8" s="19" t="s">
        <v>17</v>
      </c>
      <c r="C8" s="20">
        <f>SUM(C9:C10)</f>
        <v>18</v>
      </c>
      <c r="D8" s="20">
        <f>SUM(D9:D10)</f>
        <v>0</v>
      </c>
      <c r="E8" s="20">
        <f>SUM(E9:E10)</f>
        <v>0</v>
      </c>
      <c r="F8" s="20">
        <f>SUM(F9:F10)</f>
        <v>0</v>
      </c>
      <c r="G8" s="20">
        <f>SUM(G9:G10)</f>
        <v>18</v>
      </c>
      <c r="H8" s="21"/>
    </row>
    <row r="9" s="3" customFormat="1" ht="64" customHeight="1" spans="1:8">
      <c r="A9" s="22" t="s">
        <v>10</v>
      </c>
      <c r="B9" s="26" t="s">
        <v>311</v>
      </c>
      <c r="C9" s="24">
        <v>13</v>
      </c>
      <c r="D9" s="24"/>
      <c r="E9" s="24"/>
      <c r="F9" s="24">
        <f t="shared" si="0"/>
        <v>0</v>
      </c>
      <c r="G9" s="24">
        <f t="shared" si="1"/>
        <v>13</v>
      </c>
      <c r="H9" s="21"/>
    </row>
    <row r="10" s="3" customFormat="1" ht="64" customHeight="1" spans="1:8">
      <c r="A10" s="22" t="s">
        <v>14</v>
      </c>
      <c r="B10" s="26" t="s">
        <v>29</v>
      </c>
      <c r="C10" s="24">
        <v>5</v>
      </c>
      <c r="D10" s="24"/>
      <c r="E10" s="24"/>
      <c r="F10" s="24">
        <f t="shared" si="0"/>
        <v>0</v>
      </c>
      <c r="G10" s="24">
        <f t="shared" si="1"/>
        <v>5</v>
      </c>
      <c r="H10" s="21"/>
    </row>
    <row r="11" customFormat="1" ht="64" customHeight="1" spans="1:8">
      <c r="A11" s="27" t="s">
        <v>290</v>
      </c>
      <c r="B11" s="28"/>
      <c r="C11" s="17">
        <f>C12+C14</f>
        <v>278</v>
      </c>
      <c r="D11" s="17">
        <f>D12+D14</f>
        <v>0</v>
      </c>
      <c r="E11" s="17">
        <f>E12+E14</f>
        <v>32</v>
      </c>
      <c r="F11" s="17">
        <f>F12+F14</f>
        <v>-32</v>
      </c>
      <c r="G11" s="17">
        <f>G12+G14</f>
        <v>246</v>
      </c>
      <c r="H11" s="29"/>
    </row>
    <row r="12" customFormat="1" ht="64" customHeight="1" spans="1:8">
      <c r="A12" s="15" t="s">
        <v>7</v>
      </c>
      <c r="B12" s="19" t="s">
        <v>312</v>
      </c>
      <c r="C12" s="17">
        <f>SUM(C13:C13)</f>
        <v>18</v>
      </c>
      <c r="D12" s="17">
        <f>SUM(D13:D13)</f>
        <v>0</v>
      </c>
      <c r="E12" s="17">
        <f>SUM(E13:E13)</f>
        <v>0</v>
      </c>
      <c r="F12" s="17">
        <f>SUM(F13:F13)</f>
        <v>0</v>
      </c>
      <c r="G12" s="17">
        <f>SUM(G13:G13)</f>
        <v>18</v>
      </c>
      <c r="H12" s="29"/>
    </row>
    <row r="13" ht="64" customHeight="1" spans="1:8">
      <c r="A13" s="30" t="s">
        <v>10</v>
      </c>
      <c r="B13" s="31" t="s">
        <v>313</v>
      </c>
      <c r="C13" s="32">
        <v>18</v>
      </c>
      <c r="D13" s="32"/>
      <c r="E13" s="32"/>
      <c r="F13" s="24">
        <f t="shared" ref="F13:F16" si="2">D13-E13</f>
        <v>0</v>
      </c>
      <c r="G13" s="24">
        <f t="shared" ref="G13:G16" si="3">C13+F13</f>
        <v>18</v>
      </c>
      <c r="H13" s="33"/>
    </row>
    <row r="14" ht="64" customHeight="1" spans="1:8">
      <c r="A14" s="15" t="s">
        <v>12</v>
      </c>
      <c r="B14" s="19" t="s">
        <v>13</v>
      </c>
      <c r="C14" s="34">
        <f>SUM(C15:C16)</f>
        <v>260</v>
      </c>
      <c r="D14" s="34">
        <f>SUM(D15:D16)</f>
        <v>0</v>
      </c>
      <c r="E14" s="34">
        <f>SUM(E15:E16)</f>
        <v>32</v>
      </c>
      <c r="F14" s="34">
        <f>SUM(F15:F16)</f>
        <v>-32</v>
      </c>
      <c r="G14" s="34">
        <f>SUM(G15:G16)</f>
        <v>228</v>
      </c>
      <c r="H14" s="29"/>
    </row>
    <row r="15" ht="64" customHeight="1" spans="1:8">
      <c r="A15" s="30" t="s">
        <v>10</v>
      </c>
      <c r="B15" s="31" t="s">
        <v>314</v>
      </c>
      <c r="C15" s="32">
        <v>260</v>
      </c>
      <c r="D15" s="32"/>
      <c r="E15" s="32">
        <v>32</v>
      </c>
      <c r="F15" s="24">
        <f t="shared" si="2"/>
        <v>-32</v>
      </c>
      <c r="G15" s="24">
        <f t="shared" si="3"/>
        <v>228</v>
      </c>
      <c r="H15" s="33"/>
    </row>
    <row r="16" ht="64" customHeight="1" spans="1:8">
      <c r="A16" s="30" t="s">
        <v>14</v>
      </c>
      <c r="B16" s="31" t="s">
        <v>21</v>
      </c>
      <c r="C16" s="32">
        <v>0</v>
      </c>
      <c r="D16" s="32"/>
      <c r="E16" s="32"/>
      <c r="F16" s="24">
        <f t="shared" si="2"/>
        <v>0</v>
      </c>
      <c r="G16" s="24">
        <f t="shared" si="3"/>
        <v>0</v>
      </c>
      <c r="H16" s="29"/>
    </row>
    <row r="17" ht="64" customHeight="1"/>
  </sheetData>
  <mergeCells count="3">
    <mergeCell ref="A2:H2"/>
    <mergeCell ref="A5:B5"/>
    <mergeCell ref="A11:B11"/>
  </mergeCells>
  <printOptions horizontalCentered="1"/>
  <pageMargins left="0.708333333333333" right="0.708333333333333" top="0.747916666666667" bottom="0.747916666666667" header="0.314583333333333" footer="0.314583333333333"/>
  <pageSetup paperSize="9" scale="6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表1一般公共预算预算调整收支总表</vt:lpstr>
      <vt:lpstr>表2 一般公共预算收入调整明细表</vt:lpstr>
      <vt:lpstr>表3 地方一般公共预算支出调整明细表</vt:lpstr>
      <vt:lpstr>表3-1 县本级项目支出调整明细表</vt:lpstr>
      <vt:lpstr>表4 政府性基金收支预算调整表</vt:lpstr>
      <vt:lpstr>表5 国有资本经营收支预算调整表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2023-08-03T01:18:00Z</cp:lastPrinted>
  <dcterms:modified xsi:type="dcterms:W3CDTF">2025-01-08T06:03:23Z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3A3CCB40157C407C90A3EAC831AFA28F</vt:lpwstr>
  </property>
</Properties>
</file>