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tabRatio="915" activeTab="5"/>
  </bookViews>
  <sheets>
    <sheet name="表1一般公共预算收支总表" sheetId="1" r:id="rId1"/>
    <sheet name="表1-1 一般公共预算收入调整明细表" sheetId="8" r:id="rId2"/>
    <sheet name="表1-2地方一般公共预算支出调整表" sheetId="24" r:id="rId3"/>
    <sheet name="表2 政府性基金收支预调整算表" sheetId="7" r:id="rId4"/>
    <sheet name="表3 国有资本经营预算收支预算" sheetId="9" r:id="rId5"/>
    <sheet name="表4 2023年度“三保”支出调整明细表" sheetId="25" r:id="rId6"/>
  </sheets>
  <definedNames>
    <definedName name="_xlnm.Print_Area" localSheetId="0">表1一般公共预算收支总表!$A$1:$H$21</definedName>
    <definedName name="_xlnm.Print_Area" localSheetId="1">'表1-1 一般公共预算收入调整明细表'!$A$1:$G$85</definedName>
    <definedName name="_xlnm.Print_Area" localSheetId="3">'表2 政府性基金收支预调整算表'!$A$1:$H$32</definedName>
    <definedName name="_xlnm.Print_Titles" localSheetId="1">'表1-1 一般公共预算收入调整明细表'!$1:$4</definedName>
    <definedName name="_xlnm.Print_Area" localSheetId="2">'表1-2地方一般公共预算支出调整表'!$A$1:$H$27</definedName>
    <definedName name="_xlnm.Print_Area" localSheetId="5">'表4 2023年度“三保”支出调整明细表'!$A$1:$H$120</definedName>
  </definedNames>
  <calcPr calcId="144525"/>
</workbook>
</file>

<file path=xl/sharedStrings.xml><?xml version="1.0" encoding="utf-8"?>
<sst xmlns="http://schemas.openxmlformats.org/spreadsheetml/2006/main" count="483" uniqueCount="340">
  <si>
    <t>表1</t>
  </si>
  <si>
    <t>2023年一般公共预算预算收支总表</t>
  </si>
  <si>
    <t>单位：万元</t>
  </si>
  <si>
    <t>收入项目</t>
  </si>
  <si>
    <t>年初预算数</t>
  </si>
  <si>
    <t>调整预算数</t>
  </si>
  <si>
    <t>支出项目</t>
  </si>
  <si>
    <t>一、</t>
  </si>
  <si>
    <t>地方一般公共预算收入</t>
  </si>
  <si>
    <t>地方一般公共预算支出</t>
  </si>
  <si>
    <t>（一）</t>
  </si>
  <si>
    <t>税收收入</t>
  </si>
  <si>
    <t>二、</t>
  </si>
  <si>
    <t>转移性支出</t>
  </si>
  <si>
    <t>（二）</t>
  </si>
  <si>
    <t>非税收入</t>
  </si>
  <si>
    <t>债务还本支出</t>
  </si>
  <si>
    <t>转移性收入</t>
  </si>
  <si>
    <t>调出资金</t>
  </si>
  <si>
    <t>上级补助收入</t>
  </si>
  <si>
    <t>（三）</t>
  </si>
  <si>
    <t>上解支出</t>
  </si>
  <si>
    <t>返还性收入</t>
  </si>
  <si>
    <t>三</t>
  </si>
  <si>
    <t>结转下年支出</t>
  </si>
  <si>
    <t>一般性转移支付收入</t>
  </si>
  <si>
    <t>专项转移支付收入</t>
  </si>
  <si>
    <t>上年结转结余收入</t>
  </si>
  <si>
    <t>调入资金</t>
  </si>
  <si>
    <t>1</t>
  </si>
  <si>
    <t>政府性基金调入</t>
  </si>
  <si>
    <t>2</t>
  </si>
  <si>
    <t>国有资本经营调入</t>
  </si>
  <si>
    <t>3</t>
  </si>
  <si>
    <t>其他调入</t>
  </si>
  <si>
    <t>地方政府一般债务转贷收入</t>
  </si>
  <si>
    <t>（四）</t>
  </si>
  <si>
    <t>动用预算稳定调节基金</t>
  </si>
  <si>
    <t>一般公共预算收入合计</t>
  </si>
  <si>
    <t>一般公共预算支出合计</t>
  </si>
  <si>
    <t>表1-1</t>
  </si>
  <si>
    <t>2023年一般公共预算收入调整表</t>
  </si>
  <si>
    <t>序号</t>
  </si>
  <si>
    <t>项目</t>
  </si>
  <si>
    <t>预计增加</t>
  </si>
  <si>
    <t>预计减少</t>
  </si>
  <si>
    <t>预计净增加</t>
  </si>
  <si>
    <t xml:space="preserve">  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</si>
  <si>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</si>
  <si>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</si>
  <si>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</si>
  <si>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</si>
  <si>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</si>
  <si>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</si>
  <si>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</si>
  <si>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</si>
  <si>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</si>
  <si>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</si>
  <si>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</si>
  <si>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</si>
  <si>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</si>
  <si>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</si>
  <si>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</si>
  <si>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</si>
  <si>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</si>
  <si>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</si>
  <si>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</si>
  <si>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</si>
  <si>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政府住房基金收入</t>
  </si>
  <si>
    <t xml:space="preserve">    其他收入</t>
  </si>
  <si>
    <t xml:space="preserve">  上级补助收入</t>
  </si>
  <si>
    <t xml:space="preserve">    返还性收入</t>
  </si>
  <si>
    <t xml:space="preserve">      所得税基数返还收入 </t>
  </si>
  <si>
    <t xml:space="preserve">      增值税税收返还收入</t>
  </si>
  <si>
    <t xml:space="preserve">      增值税“五五分享”税收返还收入</t>
  </si>
  <si>
    <t xml:space="preserve">    一般性转移支付收入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</si>
  <si>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</si>
  <si>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</si>
  <si>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</si>
  <si>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</si>
  <si>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</si>
  <si>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</si>
  <si>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</si>
  <si>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民族地区转移支付收入</t>
  </si>
  <si>
    <t xml:space="preserve">      巩固拓展脱贫攻坚成果衔接乡村振兴转移支付收入</t>
  </si>
  <si>
    <t xml:space="preserve">      一般公共服务共同财政事权转移支付收入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</si>
  <si>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</si>
  <si>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</si>
  <si>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</si>
  <si>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</si>
  <si>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</si>
  <si>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</si>
  <si>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</si>
  <si>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</si>
  <si>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</si>
  <si>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灾害防治及应急管理共同财政事权转移支付收入</t>
  </si>
  <si>
    <t xml:space="preserve">      增值税留抵退税转移支付收入</t>
  </si>
  <si>
    <t xml:space="preserve">      其他退税减税降费转移支付收入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</si>
  <si>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</si>
  <si>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</si>
  <si>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</si>
  <si>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</si>
  <si>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</si>
  <si>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</si>
  <si>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</si>
  <si>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</si>
  <si>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</si>
  <si>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</si>
  <si>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</si>
  <si>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</si>
  <si>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</si>
  <si>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</si>
  <si>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</si>
  <si>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</si>
  <si>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自然资源海洋气象等</t>
  </si>
  <si>
    <t xml:space="preserve">      住房保障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</si>
  <si>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</si>
  <si>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</si>
  <si>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</si>
  <si>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</si>
  <si>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  从政府性基金预算调入</t>
  </si>
  <si>
    <t xml:space="preserve">    从国有资本经营预算调入</t>
  </si>
  <si>
    <t xml:space="preserve">    从其他资金调入</t>
  </si>
  <si>
    <t xml:space="preserve">  地方政府一般债务转贷收入</t>
  </si>
  <si>
    <t>（五）</t>
  </si>
  <si>
    <t xml:space="preserve">  动用预算稳定调节基金</t>
  </si>
  <si>
    <t>收入合计</t>
  </si>
  <si>
    <t>表1-2</t>
  </si>
  <si>
    <t>2023年一般公共预算支出调整表</t>
  </si>
  <si>
    <t>净增加</t>
  </si>
  <si>
    <t>备注</t>
  </si>
  <si>
    <t>支出总计</t>
  </si>
  <si>
    <t>一、地方一般公共预算支出</t>
  </si>
  <si>
    <t xml:space="preserve">  国家规定的“三保”支出</t>
  </si>
  <si>
    <t>保工资</t>
  </si>
  <si>
    <t>保运转</t>
  </si>
  <si>
    <t>保基本民生</t>
  </si>
  <si>
    <t>“三保”以外刚性支出</t>
  </si>
  <si>
    <t>一般债务付息支出</t>
  </si>
  <si>
    <t>编外长聘人员支出</t>
  </si>
  <si>
    <t>其他刚性政策支出</t>
  </si>
  <si>
    <t>4</t>
  </si>
  <si>
    <t>项目支出</t>
  </si>
  <si>
    <t>5</t>
  </si>
  <si>
    <t>预备费</t>
  </si>
  <si>
    <t>6</t>
  </si>
  <si>
    <t>预留支出</t>
  </si>
  <si>
    <t>（1）</t>
  </si>
  <si>
    <t>増人增资预留</t>
  </si>
  <si>
    <t>（2）</t>
  </si>
  <si>
    <t>年终考核奖</t>
  </si>
  <si>
    <t>（3）</t>
  </si>
  <si>
    <t>成本性支出</t>
  </si>
  <si>
    <t>（4）</t>
  </si>
  <si>
    <t>不可预见性支出</t>
  </si>
  <si>
    <t>二、转移性支出</t>
  </si>
  <si>
    <t>表2</t>
  </si>
  <si>
    <t>2023年政府性基金收支预算调整表</t>
  </si>
  <si>
    <t>收入总计</t>
  </si>
  <si>
    <t>一、地方政府性基金收入</t>
  </si>
  <si>
    <t>国有土地使用权出让收入</t>
  </si>
  <si>
    <t>其他地方自行试点项目收益专项债券对应项目专项收入</t>
  </si>
  <si>
    <t>中医院整体搬迁建设项目收入</t>
  </si>
  <si>
    <t xml:space="preserve">禄劝工业园区农特产品、西柚果汁、野生菌深加工标准化厂房建设项目收入
</t>
  </si>
  <si>
    <t>国有土地收益基金收入</t>
  </si>
  <si>
    <t>其他政府性基金收入</t>
  </si>
  <si>
    <t>二、转移性收入</t>
  </si>
  <si>
    <t>政府性基金补助收入</t>
  </si>
  <si>
    <t>三、债务转贷收入</t>
  </si>
  <si>
    <t>地方政府专项债务转贷收入</t>
  </si>
  <si>
    <t>1.</t>
  </si>
  <si>
    <t>再融资置换专项债券转贷收入</t>
  </si>
  <si>
    <t>2.</t>
  </si>
  <si>
    <t>新增专项债券转贷收入</t>
  </si>
  <si>
    <t>一、地方政府性基金支出</t>
  </si>
  <si>
    <t>地方政府专项债券付息支出</t>
  </si>
  <si>
    <t>地方政府专项债券发行费用支出</t>
  </si>
  <si>
    <t>国有土地使用权出让收入安排的支出</t>
  </si>
  <si>
    <t>其他政府性基金预算支出</t>
  </si>
  <si>
    <t>上级专款支出</t>
  </si>
  <si>
    <t>（六）</t>
  </si>
  <si>
    <t>新增专项债券项目支出</t>
  </si>
  <si>
    <t>专项债务还本支出</t>
  </si>
  <si>
    <t>上解支出（土地出让收入上解）</t>
  </si>
  <si>
    <t>调入一般公共预算</t>
  </si>
  <si>
    <t>结转结余</t>
  </si>
  <si>
    <t>表3</t>
  </si>
  <si>
    <t>2023年国有资本经营预算调整表</t>
  </si>
  <si>
    <t>本级收入</t>
  </si>
  <si>
    <t>国有资本经营收入</t>
  </si>
  <si>
    <t>上级补助补助收入</t>
  </si>
  <si>
    <t>本级支出</t>
  </si>
  <si>
    <t>国有资本经营支出</t>
  </si>
  <si>
    <t>表4</t>
  </si>
  <si>
    <t>2023年“三保”支出调整明细表</t>
  </si>
  <si>
    <t>2023年预算数</t>
  </si>
  <si>
    <t>预计年度完成数</t>
  </si>
  <si>
    <t>中央和省“三保”政策支出</t>
  </si>
  <si>
    <t xml:space="preserve"> 机关事业单位工资性支出</t>
  </si>
  <si>
    <t>全额供给单位工资支出</t>
  </si>
  <si>
    <t>工资</t>
  </si>
  <si>
    <t>（1）基本工资</t>
  </si>
  <si>
    <t xml:space="preserve">       其中： 行政人员工资</t>
  </si>
  <si>
    <t xml:space="preserve">             事业人员工资</t>
  </si>
  <si>
    <t>（2）津贴补贴</t>
  </si>
  <si>
    <t>（3）行政事业人员乡镇岗位补贴</t>
  </si>
  <si>
    <t>（4）公务交通补贴</t>
  </si>
  <si>
    <t>（5）事业人员绩效工资</t>
  </si>
  <si>
    <t xml:space="preserve">        其中：基础性绩效工资</t>
  </si>
  <si>
    <t xml:space="preserve">              奖励性绩效工资</t>
  </si>
  <si>
    <t>（6）奖金</t>
  </si>
  <si>
    <t xml:space="preserve">       其中： 行政一次性奖金</t>
  </si>
  <si>
    <t xml:space="preserve">              事业一次性奖金</t>
  </si>
  <si>
    <t xml:space="preserve">              公务员基础绩效奖</t>
  </si>
  <si>
    <t xml:space="preserve">              年终考核奖</t>
  </si>
  <si>
    <t xml:space="preserve">              事业基础绩效奖</t>
  </si>
  <si>
    <t>随工资计提的附加支出</t>
  </si>
  <si>
    <t>（1）基本养老保险</t>
  </si>
  <si>
    <t>（2）职业年金</t>
  </si>
  <si>
    <t>（3）医疗保险</t>
  </si>
  <si>
    <t>（4）工伤保险</t>
  </si>
  <si>
    <t>（5）福利费</t>
  </si>
  <si>
    <t>（6）工会经费</t>
  </si>
  <si>
    <t>（7）住房公积金</t>
  </si>
  <si>
    <t>（8）失业保险</t>
  </si>
  <si>
    <t xml:space="preserve"> 离退休人员支出</t>
  </si>
  <si>
    <t>离休医疗费</t>
  </si>
  <si>
    <t>离休生活补助</t>
  </si>
  <si>
    <t>退休生活补助</t>
  </si>
  <si>
    <t xml:space="preserve"> 差额单位人员支出</t>
  </si>
  <si>
    <t>县医院</t>
  </si>
  <si>
    <t>中医院</t>
  </si>
  <si>
    <t>运转类支出</t>
  </si>
  <si>
    <t>公用运转经费</t>
  </si>
  <si>
    <t>行政单位公用经费</t>
  </si>
  <si>
    <t>事业单位公用经费</t>
  </si>
  <si>
    <t>（1）教育部门（不含生均公用经费）</t>
  </si>
  <si>
    <t>（2）卫生部门</t>
  </si>
  <si>
    <t>政法部门公用运转</t>
  </si>
  <si>
    <t>公务接待费</t>
  </si>
  <si>
    <t>离退休公用经费</t>
  </si>
  <si>
    <t>离休</t>
  </si>
  <si>
    <t>退休</t>
  </si>
  <si>
    <t>公务用车经费</t>
  </si>
  <si>
    <t>公务用车运行维护费</t>
  </si>
  <si>
    <t>平台车辆保险费</t>
  </si>
  <si>
    <t>车辆购置</t>
  </si>
  <si>
    <t>特种车辆运行费</t>
  </si>
  <si>
    <t>村组保障支出</t>
  </si>
  <si>
    <t>村（社区）运转经费</t>
  </si>
  <si>
    <t>（1）社区工作经费</t>
  </si>
  <si>
    <t>（2）村委会运转经费</t>
  </si>
  <si>
    <t>（3）村(居)民小组运转经费</t>
  </si>
  <si>
    <t>村组干部工资支出</t>
  </si>
  <si>
    <t>（1）社区干部岗位补贴</t>
  </si>
  <si>
    <t>（2）村委会干部岗位补贴</t>
  </si>
  <si>
    <t>（3）村民小组党组织负责人补助和村民小组长补贴</t>
  </si>
  <si>
    <t>西部志愿者生活补助</t>
  </si>
  <si>
    <t xml:space="preserve">三、 </t>
  </si>
  <si>
    <t>基本民生类支出</t>
  </si>
  <si>
    <t>学前教育幼儿资助</t>
  </si>
  <si>
    <t>城乡义务教育中小学公用经费</t>
  </si>
  <si>
    <t>义务教育免费提供教科书</t>
  </si>
  <si>
    <t>义务教育家庭困难学生补助</t>
  </si>
  <si>
    <t>普通高中学生资助</t>
  </si>
  <si>
    <t>普通高中家庭经济困难学生国家助学金</t>
  </si>
  <si>
    <t>普通高中建档立卡户家庭经济困难学生免学杂费</t>
  </si>
  <si>
    <t>中职教育学生资助</t>
  </si>
  <si>
    <t>中等职业学校国家助学金</t>
  </si>
  <si>
    <t>中等职业教育学校免学费</t>
  </si>
  <si>
    <t>7</t>
  </si>
  <si>
    <t>农村义务教育学生营养改善计划</t>
  </si>
  <si>
    <t>8</t>
  </si>
  <si>
    <t>普通高中国家助学金</t>
  </si>
  <si>
    <t>9</t>
  </si>
  <si>
    <t>博物馆、纪念馆免费开放补助和公共美术馆、图书馆、文化馆免费开放补助</t>
  </si>
  <si>
    <t>10</t>
  </si>
  <si>
    <t>困难群众救助</t>
  </si>
  <si>
    <t>城市最低生活保障</t>
  </si>
  <si>
    <t>农村最低生活保障</t>
  </si>
  <si>
    <t>特困供养人员（原五保户）补助</t>
  </si>
  <si>
    <t>孤儿基本生活保障</t>
  </si>
  <si>
    <t>（5）</t>
  </si>
  <si>
    <t>临时救助</t>
  </si>
  <si>
    <t>（6）</t>
  </si>
  <si>
    <t>流浪乞讨人员救助</t>
  </si>
  <si>
    <t>11</t>
  </si>
  <si>
    <t>残疾人两项补贴</t>
  </si>
  <si>
    <t>12</t>
  </si>
  <si>
    <t>城乡居民基本养老保险</t>
  </si>
  <si>
    <t>13</t>
  </si>
  <si>
    <t>财政对机关事业单位养老保险的补助</t>
  </si>
  <si>
    <t>14</t>
  </si>
  <si>
    <t>高龄老人补助（老年人福利补贴）</t>
  </si>
  <si>
    <t>15</t>
  </si>
  <si>
    <t>就业见习补贴</t>
  </si>
  <si>
    <t>16</t>
  </si>
  <si>
    <t>“两参”烈属老红军老党员等部分优抚对象抚恤和生活补助</t>
  </si>
  <si>
    <t>17</t>
  </si>
  <si>
    <t>义务兵家庭优待金</t>
  </si>
  <si>
    <t>18</t>
  </si>
  <si>
    <t>退役安置支出</t>
  </si>
  <si>
    <t>自主就业退役士兵一次性经济补助</t>
  </si>
  <si>
    <t>军队移交地方政府离退休人员补助</t>
  </si>
  <si>
    <t>军转干部解困补助</t>
  </si>
  <si>
    <t>19</t>
  </si>
  <si>
    <t>城乡居民基本医疗保险</t>
  </si>
  <si>
    <t>20</t>
  </si>
  <si>
    <t>基本公共卫生服务</t>
  </si>
  <si>
    <t>21</t>
  </si>
  <si>
    <t>计划生育奖励扶助</t>
  </si>
  <si>
    <t>22</t>
  </si>
  <si>
    <t>城乡医疗救助</t>
  </si>
  <si>
    <t>23</t>
  </si>
  <si>
    <t>疫情防控</t>
  </si>
  <si>
    <t>24</t>
  </si>
  <si>
    <t>村级支出</t>
  </si>
  <si>
    <t>村委会干部岗位补贴</t>
  </si>
  <si>
    <t>村民小组党组织负责人补助和村民小组长补贴</t>
  </si>
  <si>
    <t>村委会运转经费</t>
  </si>
  <si>
    <t>村(居)民小组运转经费</t>
  </si>
  <si>
    <t>25</t>
  </si>
  <si>
    <t>普通高中生均公用经费</t>
  </si>
  <si>
    <t>26</t>
  </si>
  <si>
    <t>自然灾害生活救助</t>
  </si>
  <si>
    <t>27</t>
  </si>
  <si>
    <t>国企职工遗留问题政策补助（企业退休人员计划生育奖励）</t>
  </si>
  <si>
    <t>28</t>
  </si>
  <si>
    <t>机关事业单位职工及军人抚恤补助</t>
  </si>
  <si>
    <t>29</t>
  </si>
  <si>
    <t>重点优抚对象生活困难补助</t>
  </si>
  <si>
    <t>30</t>
  </si>
  <si>
    <t>社区支出</t>
  </si>
  <si>
    <t>社区干部补贴</t>
  </si>
  <si>
    <t>社区工作经费</t>
  </si>
  <si>
    <t>31</t>
  </si>
  <si>
    <t>32</t>
  </si>
  <si>
    <t>防治艾滋病经费</t>
  </si>
  <si>
    <t>33</t>
  </si>
  <si>
    <t>财政对城镇职工基本医疗保险基金缺口补助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</si>
</sst>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0_ "/>
    <numFmt numFmtId="179" formatCode="#,##0_ "/>
    <numFmt numFmtId="180" formatCode="#,##0_);[Red]\(#,##0\)"/>
  </numFmts>
  <fonts count="5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微软雅黑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4"/>
      <name val="方正小标宋简体"/>
      <charset val="134"/>
    </font>
    <font>
      <sz val="12"/>
      <name val="Microsoft Sans Serif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color indexed="8"/>
      <name val="黑体"/>
      <charset val="134"/>
    </font>
    <font>
      <b/>
      <sz val="14"/>
      <color indexed="8"/>
      <name val="Times New Roman"/>
      <charset val="134"/>
    </font>
    <font>
      <sz val="14"/>
      <name val="宋体"/>
      <charset val="134"/>
    </font>
    <font>
      <sz val="16"/>
      <color indexed="8"/>
      <name val="黑体"/>
      <charset val="134"/>
    </font>
    <font>
      <sz val="11"/>
      <color indexed="8"/>
      <name val="宋体"/>
      <charset val="134"/>
    </font>
    <font>
      <b/>
      <sz val="14"/>
      <color indexed="8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8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3" borderId="14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46" fillId="11" borderId="17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8" fillId="0" borderId="0">
      <alignment vertical="top"/>
      <protection locked="0"/>
    </xf>
    <xf numFmtId="43" fontId="16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 wrapText="1"/>
    </xf>
    <xf numFmtId="178" fontId="8" fillId="0" borderId="1" xfId="53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53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4" fillId="0" borderId="1" xfId="53" applyFont="1" applyFill="1" applyBorder="1" applyAlignment="1" applyProtection="1">
      <alignment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6" fillId="0" borderId="0" xfId="0" applyFont="1">
      <alignment vertical="center"/>
    </xf>
    <xf numFmtId="0" fontId="15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>
      <alignment vertical="center"/>
    </xf>
    <xf numFmtId="49" fontId="4" fillId="2" borderId="1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center" wrapText="1"/>
    </xf>
    <xf numFmtId="179" fontId="4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79" fontId="5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vertical="center" wrapText="1"/>
    </xf>
    <xf numFmtId="49" fontId="19" fillId="2" borderId="1" xfId="0" applyNumberFormat="1" applyFont="1" applyFill="1" applyBorder="1" applyAlignment="1" applyProtection="1">
      <alignment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0" fontId="20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 wrapText="1"/>
    </xf>
    <xf numFmtId="3" fontId="14" fillId="0" borderId="0" xfId="0" applyNumberFormat="1" applyFont="1" applyFill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3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/>
    </xf>
    <xf numFmtId="3" fontId="23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3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vertical="center" wrapText="1"/>
    </xf>
    <xf numFmtId="3" fontId="16" fillId="0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2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vertical="top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horizontal="center" vertical="top"/>
      <protection locked="0"/>
    </xf>
    <xf numFmtId="177" fontId="18" fillId="0" borderId="0" xfId="0" applyNumberFormat="1" applyFont="1" applyFill="1" applyAlignment="1" applyProtection="1">
      <alignment vertical="center"/>
      <protection locked="0"/>
    </xf>
    <xf numFmtId="177" fontId="28" fillId="0" borderId="0" xfId="0" applyNumberFormat="1" applyFont="1" applyFill="1" applyAlignment="1" applyProtection="1">
      <alignment vertical="top"/>
      <protection locked="0"/>
    </xf>
    <xf numFmtId="0" fontId="16" fillId="0" borderId="0" xfId="0" applyFont="1" applyFill="1" applyAlignment="1" applyProtection="1">
      <alignment horizontal="center" vertical="top"/>
      <protection locked="0"/>
    </xf>
    <xf numFmtId="0" fontId="12" fillId="0" borderId="0" xfId="0" applyFont="1" applyFill="1" applyAlignment="1" applyProtection="1">
      <alignment vertical="center" wrapText="1"/>
    </xf>
    <xf numFmtId="177" fontId="12" fillId="0" borderId="0" xfId="0" applyNumberFormat="1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77" fontId="29" fillId="0" borderId="0" xfId="0" applyNumberFormat="1" applyFont="1" applyFill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9" fontId="3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7" fontId="31" fillId="0" borderId="1" xfId="53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top"/>
      <protection locked="0"/>
    </xf>
    <xf numFmtId="0" fontId="16" fillId="0" borderId="1" xfId="0" applyFont="1" applyFill="1" applyBorder="1" applyAlignment="1" applyProtection="1">
      <alignment vertical="center" wrapText="1"/>
    </xf>
    <xf numFmtId="177" fontId="16" fillId="0" borderId="1" xfId="0" applyNumberFormat="1" applyFont="1" applyFill="1" applyBorder="1" applyAlignment="1" applyProtection="1">
      <alignment horizontal="center" vertical="center" wrapText="1"/>
    </xf>
    <xf numFmtId="177" fontId="16" fillId="0" borderId="1" xfId="0" applyNumberFormat="1" applyFont="1" applyFill="1" applyBorder="1" applyAlignment="1" applyProtection="1">
      <alignment horizontal="right" vertical="center" wrapText="1"/>
    </xf>
    <xf numFmtId="177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177" fontId="31" fillId="0" borderId="1" xfId="53" applyNumberFormat="1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77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>
      <alignment vertical="center"/>
    </xf>
    <xf numFmtId="0" fontId="32" fillId="0" borderId="0" xfId="0" applyFont="1" applyFill="1">
      <alignment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9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top"/>
      <protection locked="0"/>
    </xf>
    <xf numFmtId="0" fontId="33" fillId="0" borderId="0" xfId="0" applyFont="1" applyFill="1" applyAlignment="1">
      <alignment horizontal="center" vertical="center" wrapText="1"/>
    </xf>
    <xf numFmtId="180" fontId="34" fillId="0" borderId="1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80" fontId="31" fillId="0" borderId="1" xfId="5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9" fontId="25" fillId="2" borderId="1" xfId="0" applyNumberFormat="1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180" fontId="37" fillId="0" borderId="1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 wrapText="1"/>
    </xf>
    <xf numFmtId="180" fontId="25" fillId="0" borderId="2" xfId="0" applyNumberFormat="1" applyFont="1" applyFill="1" applyBorder="1" applyAlignment="1">
      <alignment horizontal="center" vertical="center" wrapText="1"/>
    </xf>
    <xf numFmtId="180" fontId="38" fillId="0" borderId="1" xfId="0" applyNumberFormat="1" applyFont="1" applyFill="1" applyBorder="1" applyAlignment="1">
      <alignment horizontal="center" vertical="center" wrapText="1"/>
    </xf>
    <xf numFmtId="0" fontId="25" fillId="0" borderId="1" xfId="53" applyFont="1" applyFill="1" applyBorder="1" applyAlignment="1" applyProtection="1">
      <alignment horizontal="left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35" fillId="0" borderId="1" xfId="53" applyFont="1" applyFill="1" applyBorder="1" applyAlignment="1" applyProtection="1">
      <alignment horizontal="center" vertical="center" wrapText="1"/>
    </xf>
    <xf numFmtId="0" fontId="35" fillId="0" borderId="2" xfId="53" applyFont="1" applyFill="1" applyBorder="1" applyAlignment="1" applyProtection="1">
      <alignment horizontal="center" vertical="center" wrapText="1"/>
    </xf>
    <xf numFmtId="0" fontId="35" fillId="0" borderId="3" xfId="53" applyFont="1" applyFill="1" applyBorder="1" applyAlignment="1" applyProtection="1">
      <alignment horizontal="center" vertical="center" wrapText="1"/>
    </xf>
    <xf numFmtId="179" fontId="31" fillId="0" borderId="1" xfId="5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vertical="center" wrapText="1"/>
    </xf>
    <xf numFmtId="180" fontId="0" fillId="0" borderId="0" xfId="0" applyNumberFormat="1" applyFill="1">
      <alignment vertical="center"/>
    </xf>
    <xf numFmtId="179" fontId="32" fillId="0" borderId="0" xfId="0" applyNumberFormat="1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07年省与各地结算单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千位分隔 4 6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千位分隔[0] 2 2" xf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Normal" xfId="53"/>
    <cellStyle name="千位分隔 2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view="pageBreakPreview" zoomScale="85" zoomScaleNormal="100" topLeftCell="A10" workbookViewId="0">
      <selection activeCell="H112" sqref="H112"/>
    </sheetView>
  </sheetViews>
  <sheetFormatPr defaultColWidth="9" defaultRowHeight="13.5"/>
  <cols>
    <col min="1" max="1" width="11.75" style="138" customWidth="1"/>
    <col min="2" max="2" width="25.1416666666667" style="139" customWidth="1"/>
    <col min="3" max="3" width="16.3166666666667" style="140" customWidth="1"/>
    <col min="4" max="4" width="17.7916666666667" style="140" customWidth="1"/>
    <col min="5" max="5" width="12" style="138" customWidth="1"/>
    <col min="6" max="6" width="27.2" style="139" customWidth="1"/>
    <col min="7" max="7" width="18.675" style="140" customWidth="1"/>
    <col min="8" max="8" width="22.9416666666667" style="141" customWidth="1"/>
    <col min="9" max="9" width="10.875" style="141" customWidth="1"/>
    <col min="10" max="10" width="10.5" style="141" customWidth="1"/>
    <col min="11" max="11" width="10.125" style="141" customWidth="1"/>
    <col min="12" max="12" width="9.5" style="141" customWidth="1"/>
    <col min="13" max="16384" width="9" style="141"/>
  </cols>
  <sheetData>
    <row r="1" ht="34.5" customHeight="1" spans="1:2">
      <c r="A1" s="142" t="s">
        <v>0</v>
      </c>
      <c r="B1" s="143"/>
    </row>
    <row r="2" ht="31.5" customHeight="1" spans="1:8">
      <c r="A2" s="144" t="s">
        <v>1</v>
      </c>
      <c r="B2" s="144"/>
      <c r="C2" s="144"/>
      <c r="D2" s="144"/>
      <c r="E2" s="144"/>
      <c r="F2" s="144"/>
      <c r="G2" s="144"/>
      <c r="H2" s="144"/>
    </row>
    <row r="3" spans="1:8">
      <c r="A3" s="145"/>
      <c r="B3" s="145"/>
      <c r="C3" s="145"/>
      <c r="D3" s="145"/>
      <c r="E3" s="145"/>
      <c r="F3" s="145"/>
      <c r="G3" s="145"/>
      <c r="H3" s="146" t="s">
        <v>2</v>
      </c>
    </row>
    <row r="4" ht="55" customHeight="1" spans="1:8">
      <c r="A4" s="147" t="s">
        <v>3</v>
      </c>
      <c r="B4" s="147"/>
      <c r="C4" s="122" t="s">
        <v>4</v>
      </c>
      <c r="D4" s="43" t="s">
        <v>5</v>
      </c>
      <c r="E4" s="147" t="s">
        <v>6</v>
      </c>
      <c r="F4" s="147"/>
      <c r="G4" s="122" t="s">
        <v>4</v>
      </c>
      <c r="H4" s="43" t="s">
        <v>5</v>
      </c>
    </row>
    <row r="5" s="2" customFormat="1" ht="55" customHeight="1" spans="1:8">
      <c r="A5" s="147" t="s">
        <v>7</v>
      </c>
      <c r="B5" s="148" t="s">
        <v>8</v>
      </c>
      <c r="C5" s="149">
        <f>C6+C7</f>
        <v>60000</v>
      </c>
      <c r="D5" s="149">
        <f>D6+D7</f>
        <v>66500</v>
      </c>
      <c r="E5" s="147" t="s">
        <v>7</v>
      </c>
      <c r="F5" s="148" t="s">
        <v>9</v>
      </c>
      <c r="G5" s="149">
        <f>'表1-2地方一般公共预算支出调整表'!C8</f>
        <v>373660</v>
      </c>
      <c r="H5" s="149">
        <f>'表1-2地方一般公共预算支出调整表'!G8</f>
        <v>345000</v>
      </c>
    </row>
    <row r="6" ht="55" customHeight="1" spans="1:8">
      <c r="A6" s="150" t="s">
        <v>10</v>
      </c>
      <c r="B6" s="151" t="s">
        <v>11</v>
      </c>
      <c r="C6" s="152">
        <v>45000</v>
      </c>
      <c r="D6" s="153">
        <f>'表1-1 一般公共预算收入调整明细表'!G6</f>
        <v>41000</v>
      </c>
      <c r="E6" s="154" t="s">
        <v>12</v>
      </c>
      <c r="F6" s="155" t="s">
        <v>13</v>
      </c>
      <c r="G6" s="149">
        <f>SUM(G7:G9)</f>
        <v>31036</v>
      </c>
      <c r="H6" s="149">
        <f>SUM(H7:H9)</f>
        <v>33351</v>
      </c>
    </row>
    <row r="7" ht="55" customHeight="1" spans="1:10">
      <c r="A7" s="150" t="s">
        <v>14</v>
      </c>
      <c r="B7" s="151" t="s">
        <v>15</v>
      </c>
      <c r="C7" s="152">
        <v>15000</v>
      </c>
      <c r="D7" s="152">
        <f>'表1-1 一般公共预算收入调整明细表'!G22</f>
        <v>25500</v>
      </c>
      <c r="E7" s="156" t="s">
        <v>10</v>
      </c>
      <c r="F7" s="104" t="s">
        <v>16</v>
      </c>
      <c r="G7" s="157">
        <f>'表1-2地方一般公共预算支出调整表'!C25</f>
        <v>23186</v>
      </c>
      <c r="H7" s="157">
        <f>'表1-2地方一般公共预算支出调整表'!G25</f>
        <v>23186</v>
      </c>
      <c r="J7" s="171"/>
    </row>
    <row r="8" s="2" customFormat="1" ht="55" customHeight="1" spans="1:13">
      <c r="A8" s="147" t="s">
        <v>12</v>
      </c>
      <c r="B8" s="148" t="s">
        <v>17</v>
      </c>
      <c r="C8" s="149">
        <f>C9+C13+C14+C18+C19</f>
        <v>387117</v>
      </c>
      <c r="D8" s="149">
        <f>D9+D13+D14+D18+D19</f>
        <v>356432</v>
      </c>
      <c r="E8" s="156" t="s">
        <v>14</v>
      </c>
      <c r="F8" s="104" t="s">
        <v>18</v>
      </c>
      <c r="G8" s="158"/>
      <c r="H8" s="158"/>
      <c r="I8" s="141"/>
      <c r="J8" s="141"/>
      <c r="K8" s="141"/>
      <c r="L8" s="171"/>
      <c r="M8" s="141"/>
    </row>
    <row r="9" s="136" customFormat="1" ht="55" customHeight="1" spans="1:13">
      <c r="A9" s="159" t="s">
        <v>10</v>
      </c>
      <c r="B9" s="104" t="s">
        <v>19</v>
      </c>
      <c r="C9" s="160">
        <f>SUM(C10:C12)</f>
        <v>303224</v>
      </c>
      <c r="D9" s="160">
        <f>SUM(D10:D12)</f>
        <v>292789</v>
      </c>
      <c r="E9" s="156" t="s">
        <v>20</v>
      </c>
      <c r="F9" s="104" t="s">
        <v>21</v>
      </c>
      <c r="G9" s="157">
        <f>'表1-2地方一般公共预算支出调整表'!C26</f>
        <v>7850</v>
      </c>
      <c r="H9" s="157">
        <f>'表1-2地方一般公共预算支出调整表'!G26</f>
        <v>10165</v>
      </c>
      <c r="I9" s="141"/>
      <c r="J9" s="141"/>
      <c r="K9" s="141"/>
      <c r="L9" s="141"/>
      <c r="M9" s="141"/>
    </row>
    <row r="10" ht="55" customHeight="1" spans="1:8">
      <c r="A10" s="156">
        <v>1</v>
      </c>
      <c r="B10" s="104" t="s">
        <v>22</v>
      </c>
      <c r="C10" s="161">
        <f>'表1-1 一般公共预算收入调整明细表'!C31</f>
        <v>10020</v>
      </c>
      <c r="D10" s="162">
        <f>'表1-1 一般公共预算收入调整明细表'!G31</f>
        <v>10014</v>
      </c>
      <c r="E10" s="154" t="s">
        <v>23</v>
      </c>
      <c r="F10" s="155" t="s">
        <v>24</v>
      </c>
      <c r="G10" s="149">
        <f>'表1-2地方一般公共预算支出调整表'!C27</f>
        <v>42421</v>
      </c>
      <c r="H10" s="149">
        <f>'表1-2地方一般公共预算支出调整表'!G27</f>
        <v>44581</v>
      </c>
    </row>
    <row r="11" ht="55" customHeight="1" spans="1:8">
      <c r="A11" s="156">
        <v>2</v>
      </c>
      <c r="B11" s="104" t="s">
        <v>25</v>
      </c>
      <c r="C11" s="161">
        <f>'表1-1 一般公共预算收入调整明细表'!C35</f>
        <v>222220</v>
      </c>
      <c r="D11" s="161">
        <f>'表1-1 一般公共预算收入调整明细表'!G35</f>
        <v>217789</v>
      </c>
      <c r="E11" s="156"/>
      <c r="F11" s="104"/>
      <c r="G11" s="157"/>
      <c r="H11" s="157"/>
    </row>
    <row r="12" ht="55" customHeight="1" spans="1:8">
      <c r="A12" s="156">
        <v>3</v>
      </c>
      <c r="B12" s="104" t="s">
        <v>26</v>
      </c>
      <c r="C12" s="161">
        <f>'表1-1 一般公共预算收入调整明细表'!C59</f>
        <v>70984</v>
      </c>
      <c r="D12" s="161">
        <f>'表1-1 一般公共预算收入调整明细表'!G59</f>
        <v>64986</v>
      </c>
      <c r="E12" s="156"/>
      <c r="F12" s="104"/>
      <c r="G12" s="157"/>
      <c r="H12" s="157"/>
    </row>
    <row r="13" ht="55" customHeight="1" spans="1:12">
      <c r="A13" s="156" t="s">
        <v>14</v>
      </c>
      <c r="B13" s="104" t="s">
        <v>27</v>
      </c>
      <c r="C13" s="161">
        <f>'表1-1 一般公共预算收入调整明细表'!C78</f>
        <v>12893</v>
      </c>
      <c r="D13" s="161">
        <f>'表1-1 一般公共预算收入调整明细表'!G78</f>
        <v>12893</v>
      </c>
      <c r="E13" s="156"/>
      <c r="F13" s="104"/>
      <c r="G13" s="157"/>
      <c r="H13" s="157"/>
      <c r="L13" s="171"/>
    </row>
    <row r="14" ht="55" customHeight="1" spans="1:10">
      <c r="A14" s="156" t="s">
        <v>20</v>
      </c>
      <c r="B14" s="104" t="s">
        <v>28</v>
      </c>
      <c r="C14" s="163">
        <f>C15+C16+C17</f>
        <v>53000</v>
      </c>
      <c r="D14" s="163">
        <f>D15+D16+D17</f>
        <v>26935</v>
      </c>
      <c r="E14" s="156"/>
      <c r="F14" s="104"/>
      <c r="G14" s="157"/>
      <c r="H14" s="157"/>
      <c r="J14" s="171"/>
    </row>
    <row r="15" ht="55" customHeight="1" spans="1:8">
      <c r="A15" s="156" t="s">
        <v>29</v>
      </c>
      <c r="B15" s="164" t="s">
        <v>30</v>
      </c>
      <c r="C15" s="163">
        <f>'表1-1 一般公共预算收入调整明细表'!C80</f>
        <v>30000</v>
      </c>
      <c r="D15" s="163">
        <f>'表1-1 一般公共预算收入调整明细表'!G80</f>
        <v>20277</v>
      </c>
      <c r="E15" s="156"/>
      <c r="F15" s="104"/>
      <c r="G15" s="157"/>
      <c r="H15" s="157"/>
    </row>
    <row r="16" ht="55" customHeight="1" spans="1:9">
      <c r="A16" s="156" t="s">
        <v>31</v>
      </c>
      <c r="B16" s="164" t="s">
        <v>32</v>
      </c>
      <c r="C16" s="163">
        <f>'表1-1 一般公共预算收入调整明细表'!C81</f>
        <v>200</v>
      </c>
      <c r="D16" s="163">
        <f>'表1-1 一般公共预算收入调整明细表'!G81</f>
        <v>158</v>
      </c>
      <c r="E16" s="156"/>
      <c r="F16" s="104"/>
      <c r="G16" s="157"/>
      <c r="H16" s="157"/>
      <c r="I16" s="171"/>
    </row>
    <row r="17" ht="55" customHeight="1" spans="1:9">
      <c r="A17" s="156" t="s">
        <v>33</v>
      </c>
      <c r="B17" s="104" t="s">
        <v>34</v>
      </c>
      <c r="C17" s="163">
        <f>'表1-1 一般公共预算收入调整明细表'!C82</f>
        <v>22800</v>
      </c>
      <c r="D17" s="163">
        <f>'表1-1 一般公共预算收入调整明细表'!G82</f>
        <v>6500</v>
      </c>
      <c r="E17" s="156"/>
      <c r="F17" s="104"/>
      <c r="G17" s="157"/>
      <c r="H17" s="157"/>
      <c r="I17" s="171"/>
    </row>
    <row r="18" ht="55" customHeight="1" spans="1:9">
      <c r="A18" s="156" t="s">
        <v>20</v>
      </c>
      <c r="B18" s="104" t="s">
        <v>35</v>
      </c>
      <c r="C18" s="163">
        <v>18000</v>
      </c>
      <c r="D18" s="163">
        <v>20800</v>
      </c>
      <c r="E18" s="156"/>
      <c r="F18" s="104"/>
      <c r="G18" s="157"/>
      <c r="H18" s="157"/>
      <c r="I18" s="173"/>
    </row>
    <row r="19" ht="55" customHeight="1" spans="1:9">
      <c r="A19" s="156" t="s">
        <v>36</v>
      </c>
      <c r="B19" s="104" t="s">
        <v>37</v>
      </c>
      <c r="C19" s="163">
        <v>0</v>
      </c>
      <c r="D19" s="163">
        <v>3015</v>
      </c>
      <c r="E19" s="156"/>
      <c r="F19" s="104"/>
      <c r="G19" s="157"/>
      <c r="H19" s="157"/>
      <c r="I19" s="171"/>
    </row>
    <row r="20" ht="55" customHeight="1" spans="1:10">
      <c r="A20" s="165"/>
      <c r="B20" s="166"/>
      <c r="C20" s="163"/>
      <c r="D20" s="163"/>
      <c r="E20" s="156"/>
      <c r="F20" s="104"/>
      <c r="G20" s="158"/>
      <c r="H20" s="158"/>
      <c r="I20" s="171"/>
      <c r="J20" s="173"/>
    </row>
    <row r="21" ht="55" customHeight="1" spans="1:13">
      <c r="A21" s="167" t="s">
        <v>38</v>
      </c>
      <c r="B21" s="167"/>
      <c r="C21" s="149">
        <f>C5+C8</f>
        <v>447117</v>
      </c>
      <c r="D21" s="149">
        <f>D5+D8</f>
        <v>422932</v>
      </c>
      <c r="E21" s="168" t="s">
        <v>39</v>
      </c>
      <c r="F21" s="169"/>
      <c r="G21" s="170">
        <f>G5+G6+G10</f>
        <v>447117</v>
      </c>
      <c r="H21" s="170">
        <f>H5+H6+H10</f>
        <v>422932</v>
      </c>
      <c r="I21" s="174"/>
      <c r="J21" s="137"/>
      <c r="K21" s="137"/>
      <c r="L21" s="137"/>
      <c r="M21" s="137"/>
    </row>
    <row r="22" ht="42.75" customHeight="1" spans="8:8">
      <c r="H22" s="171"/>
    </row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s="137" customFormat="1" ht="27.75" customHeight="1" spans="1:13">
      <c r="A29" s="138"/>
      <c r="B29" s="139"/>
      <c r="C29" s="140"/>
      <c r="D29" s="140"/>
      <c r="E29" s="138"/>
      <c r="F29" s="172"/>
      <c r="G29" s="140"/>
      <c r="H29" s="141"/>
      <c r="I29" s="141"/>
      <c r="J29" s="141"/>
      <c r="K29" s="141"/>
      <c r="L29" s="141"/>
      <c r="M29" s="141"/>
    </row>
  </sheetData>
  <mergeCells count="6">
    <mergeCell ref="A2:H2"/>
    <mergeCell ref="A3:G3"/>
    <mergeCell ref="A4:B4"/>
    <mergeCell ref="E4:F4"/>
    <mergeCell ref="A21:B21"/>
    <mergeCell ref="E21:F21"/>
  </mergeCells>
  <pageMargins left="0.905511811023622" right="0.708661417322835" top="0.748031496062992" bottom="0.748031496062992" header="0.31496062992126" footer="0.31496062992126"/>
  <pageSetup paperSize="9" scale="5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view="pageBreakPreview" zoomScaleNormal="100" topLeftCell="A44" workbookViewId="0">
      <selection activeCell="B44" sqref="B44"/>
    </sheetView>
  </sheetViews>
  <sheetFormatPr defaultColWidth="9" defaultRowHeight="13.5"/>
  <cols>
    <col min="1" max="1" width="9" style="112"/>
    <col min="2" max="2" width="51.375" style="111" customWidth="1"/>
    <col min="3" max="3" width="18.5" style="113" customWidth="1"/>
    <col min="4" max="5" width="11.875" style="114"/>
    <col min="6" max="6" width="12.625" style="114"/>
    <col min="7" max="7" width="12" style="114" customWidth="1"/>
    <col min="8" max="16384" width="9" style="110"/>
  </cols>
  <sheetData>
    <row r="1" ht="14.25" spans="1:3">
      <c r="A1" s="115" t="s">
        <v>40</v>
      </c>
      <c r="B1" s="116"/>
      <c r="C1" s="117" t="str">
        <f>""</f>
        <v/>
      </c>
    </row>
    <row r="2" s="108" customFormat="1" ht="20.25" customHeight="1" spans="1:7">
      <c r="A2" s="118" t="s">
        <v>41</v>
      </c>
      <c r="B2" s="118"/>
      <c r="C2" s="118"/>
      <c r="D2" s="118"/>
      <c r="E2" s="118"/>
      <c r="F2" s="118"/>
      <c r="G2" s="118"/>
    </row>
    <row r="3" spans="2:7">
      <c r="B3" s="119" t="str">
        <f>""</f>
        <v/>
      </c>
      <c r="C3" s="120"/>
      <c r="G3" s="120" t="s">
        <v>2</v>
      </c>
    </row>
    <row r="4" s="109" customFormat="1" ht="14.25" spans="1:7">
      <c r="A4" s="121" t="s">
        <v>42</v>
      </c>
      <c r="B4" s="121" t="s">
        <v>43</v>
      </c>
      <c r="C4" s="122" t="s">
        <v>4</v>
      </c>
      <c r="D4" s="13" t="s">
        <v>44</v>
      </c>
      <c r="E4" s="13" t="s">
        <v>45</v>
      </c>
      <c r="F4" s="13" t="s">
        <v>46</v>
      </c>
      <c r="G4" s="43" t="s">
        <v>5</v>
      </c>
    </row>
    <row r="5" ht="21.75" customHeight="1" spans="1:7">
      <c r="A5" s="123" t="s">
        <v>7</v>
      </c>
      <c r="B5" s="124" t="s">
        <v>8</v>
      </c>
      <c r="C5" s="125">
        <f>C6+C22</f>
        <v>60000</v>
      </c>
      <c r="D5" s="125">
        <f>D6+D22</f>
        <v>16253</v>
      </c>
      <c r="E5" s="125">
        <f>E6+E22</f>
        <v>9753</v>
      </c>
      <c r="F5" s="125">
        <f>F6+F22</f>
        <v>6500</v>
      </c>
      <c r="G5" s="125">
        <f>G6+G22</f>
        <v>66500</v>
      </c>
    </row>
    <row r="6" ht="14.25" spans="1:7">
      <c r="A6" s="126" t="s">
        <v>10</v>
      </c>
      <c r="B6" s="127" t="s">
        <v>47</v>
      </c>
      <c r="C6" s="128">
        <f t="shared" ref="C6:G6" si="0">SUM(C7:C21)</f>
        <v>45000</v>
      </c>
      <c r="D6" s="128">
        <f t="shared" si="0"/>
        <v>4472</v>
      </c>
      <c r="E6" s="128">
        <f t="shared" si="0"/>
        <v>8472</v>
      </c>
      <c r="F6" s="128">
        <f t="shared" si="0"/>
        <v>-4000</v>
      </c>
      <c r="G6" s="129">
        <f t="shared" si="0"/>
        <v>41000</v>
      </c>
    </row>
    <row r="7" ht="14.25" spans="1:7">
      <c r="A7" s="126"/>
      <c r="B7" s="127" t="s">
        <v>48</v>
      </c>
      <c r="C7" s="130">
        <v>25100</v>
      </c>
      <c r="D7" s="130"/>
      <c r="E7" s="130">
        <v>6764</v>
      </c>
      <c r="F7" s="130">
        <f t="shared" ref="F7:F21" si="1">D7-E7</f>
        <v>-6764</v>
      </c>
      <c r="G7" s="130">
        <f>C7+F7</f>
        <v>18336</v>
      </c>
    </row>
    <row r="8" ht="14.25" spans="1:7">
      <c r="A8" s="126"/>
      <c r="B8" s="127" t="s">
        <v>49</v>
      </c>
      <c r="C8" s="130">
        <v>1300</v>
      </c>
      <c r="D8" s="130"/>
      <c r="E8" s="130">
        <v>178</v>
      </c>
      <c r="F8" s="130">
        <f t="shared" si="1"/>
        <v>-178</v>
      </c>
      <c r="G8" s="130">
        <f t="shared" ref="G7:G21" si="2">C8+F8</f>
        <v>1122</v>
      </c>
    </row>
    <row r="9" ht="14.25" spans="1:7">
      <c r="A9" s="126"/>
      <c r="B9" s="127" t="s">
        <v>50</v>
      </c>
      <c r="C9" s="130">
        <v>200</v>
      </c>
      <c r="D9" s="130"/>
      <c r="E9" s="130">
        <v>200</v>
      </c>
      <c r="F9" s="130">
        <f t="shared" si="1"/>
        <v>-200</v>
      </c>
      <c r="G9" s="130">
        <f t="shared" si="2"/>
        <v>0</v>
      </c>
    </row>
    <row r="10" ht="14.25" spans="1:7">
      <c r="A10" s="126"/>
      <c r="B10" s="127" t="s">
        <v>51</v>
      </c>
      <c r="C10" s="130">
        <v>500</v>
      </c>
      <c r="D10" s="130">
        <v>200</v>
      </c>
      <c r="E10" s="130"/>
      <c r="F10" s="130">
        <f t="shared" si="1"/>
        <v>200</v>
      </c>
      <c r="G10" s="130">
        <f t="shared" si="2"/>
        <v>700</v>
      </c>
    </row>
    <row r="11" ht="14.25" spans="1:7">
      <c r="A11" s="126"/>
      <c r="B11" s="127" t="s">
        <v>52</v>
      </c>
      <c r="C11" s="130">
        <v>400</v>
      </c>
      <c r="D11" s="130">
        <v>40</v>
      </c>
      <c r="E11" s="130"/>
      <c r="F11" s="130">
        <f t="shared" si="1"/>
        <v>40</v>
      </c>
      <c r="G11" s="130">
        <f t="shared" si="2"/>
        <v>440</v>
      </c>
    </row>
    <row r="12" ht="14.25" spans="1:7">
      <c r="A12" s="126"/>
      <c r="B12" s="127" t="s">
        <v>53</v>
      </c>
      <c r="C12" s="130">
        <v>1400</v>
      </c>
      <c r="D12" s="130">
        <v>450</v>
      </c>
      <c r="E12" s="130"/>
      <c r="F12" s="130">
        <f t="shared" si="1"/>
        <v>450</v>
      </c>
      <c r="G12" s="130">
        <f t="shared" si="2"/>
        <v>1850</v>
      </c>
    </row>
    <row r="13" ht="14.25" spans="1:7">
      <c r="A13" s="126"/>
      <c r="B13" s="127" t="s">
        <v>54</v>
      </c>
      <c r="C13" s="130">
        <v>1050</v>
      </c>
      <c r="D13" s="130"/>
      <c r="E13" s="130">
        <v>450</v>
      </c>
      <c r="F13" s="130">
        <f t="shared" si="1"/>
        <v>-450</v>
      </c>
      <c r="G13" s="130">
        <f t="shared" si="2"/>
        <v>600</v>
      </c>
    </row>
    <row r="14" ht="14.25" spans="1:7">
      <c r="A14" s="126"/>
      <c r="B14" s="127" t="s">
        <v>55</v>
      </c>
      <c r="C14" s="130">
        <v>250</v>
      </c>
      <c r="D14" s="130">
        <v>150</v>
      </c>
      <c r="E14" s="130"/>
      <c r="F14" s="130">
        <f t="shared" si="1"/>
        <v>150</v>
      </c>
      <c r="G14" s="130">
        <f t="shared" si="2"/>
        <v>400</v>
      </c>
    </row>
    <row r="15" ht="14.25" spans="1:7">
      <c r="A15" s="126"/>
      <c r="B15" s="127" t="s">
        <v>56</v>
      </c>
      <c r="C15" s="130">
        <v>1200</v>
      </c>
      <c r="D15" s="130"/>
      <c r="E15" s="130">
        <f>1200-760</f>
        <v>440</v>
      </c>
      <c r="F15" s="130">
        <f t="shared" si="1"/>
        <v>-440</v>
      </c>
      <c r="G15" s="130">
        <f t="shared" si="2"/>
        <v>760</v>
      </c>
    </row>
    <row r="16" ht="14.25" spans="1:7">
      <c r="A16" s="126"/>
      <c r="B16" s="127" t="s">
        <v>57</v>
      </c>
      <c r="C16" s="130">
        <v>1000</v>
      </c>
      <c r="D16" s="130"/>
      <c r="E16" s="130">
        <v>200</v>
      </c>
      <c r="F16" s="130">
        <f t="shared" si="1"/>
        <v>-200</v>
      </c>
      <c r="G16" s="130">
        <f t="shared" si="2"/>
        <v>800</v>
      </c>
    </row>
    <row r="17" ht="14.25" spans="1:7">
      <c r="A17" s="126"/>
      <c r="B17" s="127" t="s">
        <v>58</v>
      </c>
      <c r="C17" s="130">
        <v>1200</v>
      </c>
      <c r="D17" s="130"/>
      <c r="E17" s="130">
        <v>200</v>
      </c>
      <c r="F17" s="130">
        <f t="shared" si="1"/>
        <v>-200</v>
      </c>
      <c r="G17" s="130">
        <f t="shared" si="2"/>
        <v>1000</v>
      </c>
    </row>
    <row r="18" ht="14.25" spans="1:10">
      <c r="A18" s="126"/>
      <c r="B18" s="127" t="s">
        <v>59</v>
      </c>
      <c r="C18" s="130">
        <v>1000</v>
      </c>
      <c r="D18" s="130">
        <v>1641</v>
      </c>
      <c r="E18" s="130"/>
      <c r="F18" s="130">
        <f t="shared" si="1"/>
        <v>1641</v>
      </c>
      <c r="G18" s="130">
        <f t="shared" si="2"/>
        <v>2641</v>
      </c>
      <c r="J18" s="112"/>
    </row>
    <row r="19" ht="14.25" spans="1:10">
      <c r="A19" s="126"/>
      <c r="B19" s="127" t="s">
        <v>60</v>
      </c>
      <c r="C19" s="130">
        <v>2200</v>
      </c>
      <c r="D19" s="130">
        <v>700</v>
      </c>
      <c r="E19" s="130"/>
      <c r="F19" s="130">
        <f t="shared" si="1"/>
        <v>700</v>
      </c>
      <c r="G19" s="130">
        <f t="shared" si="2"/>
        <v>2900</v>
      </c>
      <c r="J19" s="112"/>
    </row>
    <row r="20" ht="14.25" spans="1:7">
      <c r="A20" s="126"/>
      <c r="B20" s="127" t="s">
        <v>61</v>
      </c>
      <c r="C20" s="130">
        <v>8000</v>
      </c>
      <c r="D20" s="130">
        <v>1291</v>
      </c>
      <c r="E20" s="130"/>
      <c r="F20" s="130">
        <f t="shared" si="1"/>
        <v>1291</v>
      </c>
      <c r="G20" s="130">
        <f t="shared" si="2"/>
        <v>9291</v>
      </c>
    </row>
    <row r="21" ht="14.25" spans="1:7">
      <c r="A21" s="126"/>
      <c r="B21" s="127" t="s">
        <v>62</v>
      </c>
      <c r="C21" s="130">
        <v>200</v>
      </c>
      <c r="D21" s="130"/>
      <c r="E21" s="130">
        <v>40</v>
      </c>
      <c r="F21" s="130">
        <f t="shared" si="1"/>
        <v>-40</v>
      </c>
      <c r="G21" s="130">
        <f t="shared" si="2"/>
        <v>160</v>
      </c>
    </row>
    <row r="22" ht="14.25" spans="1:7">
      <c r="A22" s="126" t="s">
        <v>14</v>
      </c>
      <c r="B22" s="127" t="s">
        <v>63</v>
      </c>
      <c r="C22" s="129">
        <f>SUM(C23:C28)</f>
        <v>15000</v>
      </c>
      <c r="D22" s="129">
        <f>SUM(D23:D28)</f>
        <v>11781</v>
      </c>
      <c r="E22" s="129">
        <f>SUM(E23:E28)</f>
        <v>1281</v>
      </c>
      <c r="F22" s="129">
        <f>SUM(F23:F28)</f>
        <v>10500</v>
      </c>
      <c r="G22" s="129">
        <f>SUM(G23:G28)</f>
        <v>25500</v>
      </c>
    </row>
    <row r="23" ht="14.25" spans="1:7">
      <c r="A23" s="126"/>
      <c r="B23" s="127" t="s">
        <v>64</v>
      </c>
      <c r="C23" s="130">
        <v>3264</v>
      </c>
      <c r="D23" s="130"/>
      <c r="E23" s="130">
        <f>3264-3117</f>
        <v>147</v>
      </c>
      <c r="F23" s="130">
        <f t="shared" ref="F23:F28" si="3">D23-E23</f>
        <v>-147</v>
      </c>
      <c r="G23" s="130">
        <f t="shared" ref="G23:G28" si="4">C23+F23</f>
        <v>3117</v>
      </c>
    </row>
    <row r="24" ht="14.25" spans="1:7">
      <c r="A24" s="126"/>
      <c r="B24" s="127" t="s">
        <v>65</v>
      </c>
      <c r="C24" s="130">
        <v>1035</v>
      </c>
      <c r="D24" s="130">
        <f>5046-1035</f>
        <v>4011</v>
      </c>
      <c r="E24" s="130"/>
      <c r="F24" s="130">
        <f t="shared" si="3"/>
        <v>4011</v>
      </c>
      <c r="G24" s="130">
        <f t="shared" si="4"/>
        <v>5046</v>
      </c>
    </row>
    <row r="25" ht="14.25" spans="1:7">
      <c r="A25" s="126"/>
      <c r="B25" s="127" t="s">
        <v>66</v>
      </c>
      <c r="C25" s="130">
        <v>2568</v>
      </c>
      <c r="D25" s="130">
        <f>4590-2568</f>
        <v>2022</v>
      </c>
      <c r="E25" s="130"/>
      <c r="F25" s="130">
        <f t="shared" si="3"/>
        <v>2022</v>
      </c>
      <c r="G25" s="130">
        <f t="shared" si="4"/>
        <v>4590</v>
      </c>
    </row>
    <row r="26" ht="14.25" spans="1:7">
      <c r="A26" s="126"/>
      <c r="B26" s="127" t="s">
        <v>67</v>
      </c>
      <c r="C26" s="130">
        <v>8133</v>
      </c>
      <c r="D26" s="130"/>
      <c r="E26" s="130">
        <f>8133-6999</f>
        <v>1134</v>
      </c>
      <c r="F26" s="130">
        <f t="shared" si="3"/>
        <v>-1134</v>
      </c>
      <c r="G26" s="130">
        <f t="shared" si="4"/>
        <v>6999</v>
      </c>
    </row>
    <row r="27" ht="14.25" spans="1:7">
      <c r="A27" s="126"/>
      <c r="B27" s="127" t="s">
        <v>68</v>
      </c>
      <c r="C27" s="130"/>
      <c r="D27" s="130">
        <v>50</v>
      </c>
      <c r="E27" s="130"/>
      <c r="F27" s="130">
        <f t="shared" si="3"/>
        <v>50</v>
      </c>
      <c r="G27" s="130">
        <f t="shared" si="4"/>
        <v>50</v>
      </c>
    </row>
    <row r="28" ht="14.25" spans="1:7">
      <c r="A28" s="126"/>
      <c r="B28" s="127" t="s">
        <v>69</v>
      </c>
      <c r="C28" s="130"/>
      <c r="D28" s="130">
        <v>5698</v>
      </c>
      <c r="E28" s="130"/>
      <c r="F28" s="130">
        <f t="shared" si="3"/>
        <v>5698</v>
      </c>
      <c r="G28" s="130">
        <f t="shared" si="4"/>
        <v>5698</v>
      </c>
    </row>
    <row r="29" ht="18.75" spans="1:7">
      <c r="A29" s="123" t="s">
        <v>12</v>
      </c>
      <c r="B29" s="124" t="s">
        <v>17</v>
      </c>
      <c r="C29" s="131">
        <f>SUM(C30,C78,C79,C83,C84)</f>
        <v>387117</v>
      </c>
      <c r="D29" s="131">
        <f>SUM(D30,D78,D79,D83,D84)</f>
        <v>51231</v>
      </c>
      <c r="E29" s="131">
        <f>SUM(E30,E78,E79,E83,E84)</f>
        <v>81916</v>
      </c>
      <c r="F29" s="131">
        <f>SUM(F30,F78,F79,F83,F84)</f>
        <v>-30685</v>
      </c>
      <c r="G29" s="131">
        <f>SUM(G30,G78,G79,G83,G84)</f>
        <v>356432</v>
      </c>
    </row>
    <row r="30" ht="14.25" spans="1:7">
      <c r="A30" s="126" t="s">
        <v>10</v>
      </c>
      <c r="B30" s="132" t="s">
        <v>70</v>
      </c>
      <c r="C30" s="129">
        <f>C31+C35+C59</f>
        <v>303224</v>
      </c>
      <c r="D30" s="129">
        <f>D31+D35+D59</f>
        <v>45416</v>
      </c>
      <c r="E30" s="129">
        <f>E31+E35+E59</f>
        <v>55851</v>
      </c>
      <c r="F30" s="129">
        <f>F31+F35+F59</f>
        <v>-10435</v>
      </c>
      <c r="G30" s="129">
        <f>G31+G35+G59</f>
        <v>292789</v>
      </c>
    </row>
    <row r="31" ht="14.25" spans="1:7">
      <c r="A31" s="126">
        <v>1</v>
      </c>
      <c r="B31" s="132" t="s">
        <v>71</v>
      </c>
      <c r="C31" s="129">
        <f>SUM(C32:C34)</f>
        <v>10020</v>
      </c>
      <c r="D31" s="129">
        <f>SUM(D32:D34)</f>
        <v>0</v>
      </c>
      <c r="E31" s="129">
        <f>SUM(E32:E34)</f>
        <v>6</v>
      </c>
      <c r="F31" s="129">
        <f>SUM(F32:F34)</f>
        <v>-6</v>
      </c>
      <c r="G31" s="129">
        <f t="shared" ref="G31:G34" si="5">C31+F31</f>
        <v>10014</v>
      </c>
    </row>
    <row r="32" ht="14.25" spans="1:7">
      <c r="A32" s="126"/>
      <c r="B32" s="127" t="s">
        <v>72</v>
      </c>
      <c r="C32" s="130">
        <v>-60</v>
      </c>
      <c r="D32" s="130"/>
      <c r="E32" s="130"/>
      <c r="F32" s="130">
        <f t="shared" ref="F31:F34" si="6">D32-E32</f>
        <v>0</v>
      </c>
      <c r="G32" s="130">
        <f t="shared" si="5"/>
        <v>-60</v>
      </c>
    </row>
    <row r="33" ht="14.25" spans="1:7">
      <c r="A33" s="126"/>
      <c r="B33" s="127" t="s">
        <v>73</v>
      </c>
      <c r="C33" s="130">
        <v>1584</v>
      </c>
      <c r="D33" s="130"/>
      <c r="E33" s="130"/>
      <c r="F33" s="130">
        <f t="shared" si="6"/>
        <v>0</v>
      </c>
      <c r="G33" s="130">
        <f t="shared" si="5"/>
        <v>1584</v>
      </c>
    </row>
    <row r="34" ht="14.25" spans="1:7">
      <c r="A34" s="126"/>
      <c r="B34" s="127" t="s">
        <v>74</v>
      </c>
      <c r="C34" s="130">
        <v>8496</v>
      </c>
      <c r="D34" s="130"/>
      <c r="E34" s="130">
        <v>6</v>
      </c>
      <c r="F34" s="130">
        <f t="shared" si="6"/>
        <v>-6</v>
      </c>
      <c r="G34" s="130">
        <f t="shared" si="5"/>
        <v>8490</v>
      </c>
    </row>
    <row r="35" ht="14.25" spans="1:7">
      <c r="A35" s="126">
        <v>2</v>
      </c>
      <c r="B35" s="127" t="s">
        <v>75</v>
      </c>
      <c r="C35" s="129">
        <f>SUM(C36:C58)</f>
        <v>222220</v>
      </c>
      <c r="D35" s="129">
        <f>SUM(D36:D58)</f>
        <v>33264</v>
      </c>
      <c r="E35" s="129">
        <f>SUM(E36:E58)</f>
        <v>37695</v>
      </c>
      <c r="F35" s="129">
        <f>SUM(F36:F58)</f>
        <v>-4431</v>
      </c>
      <c r="G35" s="129">
        <f>SUM(G36:G58)</f>
        <v>217789</v>
      </c>
    </row>
    <row r="36" ht="14.25" spans="1:7">
      <c r="A36" s="126"/>
      <c r="B36" s="127" t="s">
        <v>76</v>
      </c>
      <c r="C36" s="130">
        <v>48923</v>
      </c>
      <c r="D36" s="130">
        <v>8818</v>
      </c>
      <c r="E36" s="130"/>
      <c r="F36" s="130">
        <f t="shared" ref="F36:F58" si="7">D36-E36</f>
        <v>8818</v>
      </c>
      <c r="G36" s="130">
        <f t="shared" ref="G36:G58" si="8">C36+F36</f>
        <v>57741</v>
      </c>
    </row>
    <row r="37" s="110" customFormat="1" ht="14.25" spans="1:7">
      <c r="A37" s="126"/>
      <c r="B37" s="127" t="s">
        <v>77</v>
      </c>
      <c r="C37" s="130">
        <v>22617</v>
      </c>
      <c r="D37" s="130"/>
      <c r="E37" s="130">
        <v>9851</v>
      </c>
      <c r="F37" s="130">
        <f t="shared" si="7"/>
        <v>-9851</v>
      </c>
      <c r="G37" s="130">
        <f t="shared" si="8"/>
        <v>12766</v>
      </c>
    </row>
    <row r="38" ht="14.25" spans="1:7">
      <c r="A38" s="126"/>
      <c r="B38" s="127" t="s">
        <v>78</v>
      </c>
      <c r="C38" s="130">
        <v>16359</v>
      </c>
      <c r="D38" s="130">
        <f>17412-16359+1000+3000</f>
        <v>5053</v>
      </c>
      <c r="E38" s="130"/>
      <c r="F38" s="130">
        <f t="shared" si="7"/>
        <v>5053</v>
      </c>
      <c r="G38" s="130">
        <f t="shared" si="8"/>
        <v>21412</v>
      </c>
    </row>
    <row r="39" ht="14.25" spans="1:7">
      <c r="A39" s="126"/>
      <c r="B39" s="127" t="s">
        <v>79</v>
      </c>
      <c r="C39" s="130">
        <v>1181</v>
      </c>
      <c r="D39" s="130"/>
      <c r="E39" s="130">
        <v>18</v>
      </c>
      <c r="F39" s="130">
        <f t="shared" si="7"/>
        <v>-18</v>
      </c>
      <c r="G39" s="130">
        <f t="shared" si="8"/>
        <v>1163</v>
      </c>
    </row>
    <row r="40" ht="14.25" spans="1:7">
      <c r="A40" s="126"/>
      <c r="B40" s="127" t="s">
        <v>80</v>
      </c>
      <c r="C40" s="130">
        <v>1571</v>
      </c>
      <c r="D40" s="130">
        <v>183</v>
      </c>
      <c r="E40" s="130"/>
      <c r="F40" s="130">
        <f t="shared" si="7"/>
        <v>183</v>
      </c>
      <c r="G40" s="130">
        <f t="shared" si="8"/>
        <v>1754</v>
      </c>
    </row>
    <row r="41" ht="14.25" spans="1:7">
      <c r="A41" s="126"/>
      <c r="B41" s="127" t="s">
        <v>81</v>
      </c>
      <c r="C41" s="130">
        <v>4854</v>
      </c>
      <c r="D41" s="130">
        <v>868</v>
      </c>
      <c r="E41" s="130"/>
      <c r="F41" s="130">
        <f t="shared" si="7"/>
        <v>868</v>
      </c>
      <c r="G41" s="130">
        <f t="shared" si="8"/>
        <v>5722</v>
      </c>
    </row>
    <row r="42" ht="14.25" spans="1:7">
      <c r="A42" s="126"/>
      <c r="B42" s="127" t="s">
        <v>82</v>
      </c>
      <c r="C42" s="130">
        <v>10317</v>
      </c>
      <c r="D42" s="130">
        <v>1949</v>
      </c>
      <c r="E42" s="130"/>
      <c r="F42" s="130">
        <f t="shared" si="7"/>
        <v>1949</v>
      </c>
      <c r="G42" s="130">
        <f t="shared" si="8"/>
        <v>12266</v>
      </c>
    </row>
    <row r="43" ht="14.25" spans="1:7">
      <c r="A43" s="126"/>
      <c r="B43" s="127" t="s">
        <v>83</v>
      </c>
      <c r="C43" s="130">
        <v>2169</v>
      </c>
      <c r="D43" s="130"/>
      <c r="E43" s="130"/>
      <c r="F43" s="130">
        <f t="shared" si="7"/>
        <v>0</v>
      </c>
      <c r="G43" s="130">
        <f t="shared" si="8"/>
        <v>2169</v>
      </c>
    </row>
    <row r="44" s="110" customFormat="1" ht="14.25" spans="1:7">
      <c r="A44" s="126"/>
      <c r="B44" s="127" t="s">
        <v>84</v>
      </c>
      <c r="C44" s="130">
        <v>11595</v>
      </c>
      <c r="D44" s="130">
        <v>3958</v>
      </c>
      <c r="E44" s="130"/>
      <c r="F44" s="130">
        <f t="shared" si="7"/>
        <v>3958</v>
      </c>
      <c r="G44" s="130">
        <f t="shared" si="8"/>
        <v>15553</v>
      </c>
    </row>
    <row r="45" ht="14.25" spans="1:7">
      <c r="A45" s="126"/>
      <c r="B45" s="127" t="s">
        <v>85</v>
      </c>
      <c r="C45" s="130">
        <v>35</v>
      </c>
      <c r="D45" s="130"/>
      <c r="E45" s="130">
        <v>35</v>
      </c>
      <c r="F45" s="130">
        <f t="shared" si="7"/>
        <v>-35</v>
      </c>
      <c r="G45" s="130">
        <f t="shared" si="8"/>
        <v>0</v>
      </c>
    </row>
    <row r="46" ht="14.25" spans="1:7">
      <c r="A46" s="126"/>
      <c r="B46" s="127" t="s">
        <v>86</v>
      </c>
      <c r="C46" s="130">
        <v>1714</v>
      </c>
      <c r="D46" s="130"/>
      <c r="E46" s="130">
        <v>456</v>
      </c>
      <c r="F46" s="130">
        <f t="shared" si="7"/>
        <v>-456</v>
      </c>
      <c r="G46" s="130">
        <f t="shared" si="8"/>
        <v>1258</v>
      </c>
    </row>
    <row r="47" ht="14.25" spans="1:7">
      <c r="A47" s="126"/>
      <c r="B47" s="127" t="s">
        <v>87</v>
      </c>
      <c r="C47" s="130">
        <v>16361</v>
      </c>
      <c r="D47" s="130"/>
      <c r="E47" s="130">
        <v>814</v>
      </c>
      <c r="F47" s="130">
        <f t="shared" si="7"/>
        <v>-814</v>
      </c>
      <c r="G47" s="130">
        <f t="shared" si="8"/>
        <v>15547</v>
      </c>
    </row>
    <row r="48" ht="14.25" spans="1:7">
      <c r="A48" s="126"/>
      <c r="B48" s="127" t="s">
        <v>88</v>
      </c>
      <c r="C48" s="130">
        <v>1300</v>
      </c>
      <c r="D48" s="130"/>
      <c r="E48" s="130">
        <v>555</v>
      </c>
      <c r="F48" s="130">
        <f t="shared" si="7"/>
        <v>-555</v>
      </c>
      <c r="G48" s="130">
        <f t="shared" si="8"/>
        <v>745</v>
      </c>
    </row>
    <row r="49" ht="14.25" spans="1:7">
      <c r="A49" s="126"/>
      <c r="B49" s="127" t="s">
        <v>89</v>
      </c>
      <c r="C49" s="130">
        <v>22352</v>
      </c>
      <c r="D49" s="130">
        <v>1969</v>
      </c>
      <c r="E49" s="130"/>
      <c r="F49" s="130">
        <f t="shared" si="7"/>
        <v>1969</v>
      </c>
      <c r="G49" s="130">
        <f t="shared" si="8"/>
        <v>24321</v>
      </c>
    </row>
    <row r="50" ht="14.25" spans="1:7">
      <c r="A50" s="126"/>
      <c r="B50" s="127" t="s">
        <v>90</v>
      </c>
      <c r="C50" s="130">
        <v>5866</v>
      </c>
      <c r="D50" s="130"/>
      <c r="E50" s="130">
        <v>481</v>
      </c>
      <c r="F50" s="130">
        <f t="shared" si="7"/>
        <v>-481</v>
      </c>
      <c r="G50" s="130">
        <f t="shared" si="8"/>
        <v>5385</v>
      </c>
    </row>
    <row r="51" ht="14.25" spans="1:7">
      <c r="A51" s="126"/>
      <c r="B51" s="127" t="s">
        <v>91</v>
      </c>
      <c r="C51" s="130">
        <v>3019</v>
      </c>
      <c r="D51" s="130"/>
      <c r="E51" s="130">
        <v>1323</v>
      </c>
      <c r="F51" s="130">
        <f t="shared" si="7"/>
        <v>-1323</v>
      </c>
      <c r="G51" s="130">
        <f t="shared" si="8"/>
        <v>1696</v>
      </c>
    </row>
    <row r="52" ht="14.25" spans="1:7">
      <c r="A52" s="126"/>
      <c r="B52" s="127" t="s">
        <v>92</v>
      </c>
      <c r="C52" s="130">
        <v>13149</v>
      </c>
      <c r="D52" s="130">
        <v>9058</v>
      </c>
      <c r="E52" s="130"/>
      <c r="F52" s="130">
        <f t="shared" si="7"/>
        <v>9058</v>
      </c>
      <c r="G52" s="130">
        <f t="shared" si="8"/>
        <v>22207</v>
      </c>
    </row>
    <row r="53" ht="14.25" spans="1:7">
      <c r="A53" s="126"/>
      <c r="B53" s="127" t="s">
        <v>93</v>
      </c>
      <c r="C53" s="130">
        <v>3631</v>
      </c>
      <c r="D53" s="130">
        <v>1166</v>
      </c>
      <c r="E53" s="130"/>
      <c r="F53" s="130">
        <f t="shared" si="7"/>
        <v>1166</v>
      </c>
      <c r="G53" s="130">
        <f t="shared" si="8"/>
        <v>4797</v>
      </c>
    </row>
    <row r="54" ht="14.25" spans="1:7">
      <c r="A54" s="126"/>
      <c r="B54" s="127" t="s">
        <v>94</v>
      </c>
      <c r="C54" s="130">
        <v>603</v>
      </c>
      <c r="D54" s="130"/>
      <c r="E54" s="130">
        <v>90</v>
      </c>
      <c r="F54" s="130">
        <f t="shared" si="7"/>
        <v>-90</v>
      </c>
      <c r="G54" s="130">
        <f t="shared" si="8"/>
        <v>513</v>
      </c>
    </row>
    <row r="55" ht="14.25" spans="1:7">
      <c r="A55" s="126"/>
      <c r="B55" s="127" t="s">
        <v>95</v>
      </c>
      <c r="C55" s="130">
        <v>10</v>
      </c>
      <c r="D55" s="130">
        <v>40</v>
      </c>
      <c r="E55" s="130"/>
      <c r="F55" s="130">
        <f t="shared" si="7"/>
        <v>40</v>
      </c>
      <c r="G55" s="130">
        <f t="shared" si="8"/>
        <v>50</v>
      </c>
    </row>
    <row r="56" ht="14.25" spans="1:7">
      <c r="A56" s="126"/>
      <c r="B56" s="127" t="s">
        <v>96</v>
      </c>
      <c r="C56" s="130">
        <v>35209</v>
      </c>
      <c r="D56" s="130">
        <v>179</v>
      </c>
      <c r="E56" s="130">
        <v>24072</v>
      </c>
      <c r="F56" s="130">
        <f t="shared" si="7"/>
        <v>-23893</v>
      </c>
      <c r="G56" s="130">
        <f t="shared" si="8"/>
        <v>11316</v>
      </c>
    </row>
    <row r="57" ht="14.25" spans="1:7">
      <c r="A57" s="126"/>
      <c r="B57" s="127" t="s">
        <v>97</v>
      </c>
      <c r="C57" s="130">
        <v>-1115</v>
      </c>
      <c r="D57" s="130"/>
      <c r="E57" s="130"/>
      <c r="F57" s="130">
        <f t="shared" si="7"/>
        <v>0</v>
      </c>
      <c r="G57" s="130">
        <f t="shared" si="8"/>
        <v>-1115</v>
      </c>
    </row>
    <row r="58" ht="14.25" spans="1:7">
      <c r="A58" s="126"/>
      <c r="B58" s="127" t="s">
        <v>98</v>
      </c>
      <c r="C58" s="130">
        <v>500</v>
      </c>
      <c r="D58" s="130">
        <v>23</v>
      </c>
      <c r="E58" s="130"/>
      <c r="F58" s="130">
        <f t="shared" si="7"/>
        <v>23</v>
      </c>
      <c r="G58" s="130">
        <f t="shared" si="8"/>
        <v>523</v>
      </c>
    </row>
    <row r="59" ht="14.25" spans="1:7">
      <c r="A59" s="126">
        <v>3</v>
      </c>
      <c r="B59" s="127" t="s">
        <v>99</v>
      </c>
      <c r="C59" s="129">
        <f>SUM(C60:C77)</f>
        <v>70984</v>
      </c>
      <c r="D59" s="129">
        <f>SUM(D60:D77)</f>
        <v>12152</v>
      </c>
      <c r="E59" s="129">
        <f>SUM(E60:E77)</f>
        <v>18150</v>
      </c>
      <c r="F59" s="129">
        <f>SUM(F60:F77)</f>
        <v>-5998</v>
      </c>
      <c r="G59" s="129">
        <f>SUM(G60:G77)</f>
        <v>64986</v>
      </c>
    </row>
    <row r="60" ht="14.25" spans="1:7">
      <c r="A60" s="126"/>
      <c r="B60" s="127" t="s">
        <v>100</v>
      </c>
      <c r="C60" s="130">
        <v>870</v>
      </c>
      <c r="D60" s="130"/>
      <c r="E60" s="130">
        <f>390-52</f>
        <v>338</v>
      </c>
      <c r="F60" s="130">
        <f t="shared" ref="F60:F78" si="9">D60-E60</f>
        <v>-338</v>
      </c>
      <c r="G60" s="130">
        <f t="shared" ref="G60:G78" si="10">C60+F60</f>
        <v>532</v>
      </c>
    </row>
    <row r="61" ht="14.25" spans="1:7">
      <c r="A61" s="126"/>
      <c r="B61" s="127" t="s">
        <v>101</v>
      </c>
      <c r="C61" s="130">
        <v>22</v>
      </c>
      <c r="D61" s="130">
        <v>178</v>
      </c>
      <c r="E61" s="130"/>
      <c r="F61" s="130">
        <f t="shared" si="9"/>
        <v>178</v>
      </c>
      <c r="G61" s="130">
        <f t="shared" si="10"/>
        <v>200</v>
      </c>
    </row>
    <row r="62" ht="14.25" spans="1:7">
      <c r="A62" s="126"/>
      <c r="B62" s="127" t="s">
        <v>102</v>
      </c>
      <c r="C62" s="130">
        <v>254</v>
      </c>
      <c r="D62" s="130">
        <f>387-254</f>
        <v>133</v>
      </c>
      <c r="E62" s="130"/>
      <c r="F62" s="130">
        <f t="shared" si="9"/>
        <v>133</v>
      </c>
      <c r="G62" s="130">
        <f t="shared" si="10"/>
        <v>387</v>
      </c>
    </row>
    <row r="63" ht="14.25" spans="1:7">
      <c r="A63" s="126"/>
      <c r="B63" s="127" t="s">
        <v>103</v>
      </c>
      <c r="C63" s="130">
        <v>3340</v>
      </c>
      <c r="D63" s="130"/>
      <c r="E63" s="130">
        <v>62</v>
      </c>
      <c r="F63" s="130">
        <f t="shared" si="9"/>
        <v>-62</v>
      </c>
      <c r="G63" s="130">
        <f t="shared" si="10"/>
        <v>3278</v>
      </c>
    </row>
    <row r="64" s="111" customFormat="1" ht="14.25" spans="1:7">
      <c r="A64" s="133"/>
      <c r="B64" s="127" t="s">
        <v>104</v>
      </c>
      <c r="C64" s="130">
        <v>64</v>
      </c>
      <c r="D64" s="130">
        <v>46</v>
      </c>
      <c r="E64" s="130"/>
      <c r="F64" s="130">
        <f t="shared" si="9"/>
        <v>46</v>
      </c>
      <c r="G64" s="130">
        <f t="shared" si="10"/>
        <v>110</v>
      </c>
    </row>
    <row r="65" ht="14.25" spans="1:7">
      <c r="A65" s="126"/>
      <c r="B65" s="127" t="s">
        <v>105</v>
      </c>
      <c r="C65" s="130">
        <v>195</v>
      </c>
      <c r="D65" s="130">
        <v>7945</v>
      </c>
      <c r="E65" s="130"/>
      <c r="F65" s="130">
        <f t="shared" si="9"/>
        <v>7945</v>
      </c>
      <c r="G65" s="130">
        <f t="shared" si="10"/>
        <v>8140</v>
      </c>
    </row>
    <row r="66" ht="14.25" spans="1:7">
      <c r="A66" s="126"/>
      <c r="B66" s="127" t="s">
        <v>106</v>
      </c>
      <c r="C66" s="130">
        <v>7405</v>
      </c>
      <c r="D66" s="130">
        <v>94</v>
      </c>
      <c r="E66" s="130"/>
      <c r="F66" s="130">
        <f t="shared" si="9"/>
        <v>94</v>
      </c>
      <c r="G66" s="130">
        <f t="shared" si="10"/>
        <v>7499</v>
      </c>
    </row>
    <row r="67" ht="14.25" spans="1:7">
      <c r="A67" s="126"/>
      <c r="B67" s="127" t="s">
        <v>107</v>
      </c>
      <c r="C67" s="130">
        <v>1553</v>
      </c>
      <c r="D67" s="130">
        <f>1666-1553</f>
        <v>113</v>
      </c>
      <c r="E67" s="130"/>
      <c r="F67" s="130">
        <f t="shared" si="9"/>
        <v>113</v>
      </c>
      <c r="G67" s="130">
        <f t="shared" si="10"/>
        <v>1666</v>
      </c>
    </row>
    <row r="68" ht="14.25" spans="1:7">
      <c r="A68" s="126"/>
      <c r="B68" s="127" t="s">
        <v>108</v>
      </c>
      <c r="C68" s="130">
        <v>1186</v>
      </c>
      <c r="D68" s="130">
        <v>2014</v>
      </c>
      <c r="E68" s="130"/>
      <c r="F68" s="130">
        <f t="shared" si="9"/>
        <v>2014</v>
      </c>
      <c r="G68" s="130">
        <f t="shared" si="10"/>
        <v>3200</v>
      </c>
    </row>
    <row r="69" ht="14.25" spans="1:7">
      <c r="A69" s="126"/>
      <c r="B69" s="127" t="s">
        <v>109</v>
      </c>
      <c r="C69" s="130">
        <v>14</v>
      </c>
      <c r="D69" s="130"/>
      <c r="E69" s="130">
        <v>14</v>
      </c>
      <c r="F69" s="130">
        <f t="shared" si="9"/>
        <v>-14</v>
      </c>
      <c r="G69" s="130">
        <f t="shared" si="10"/>
        <v>0</v>
      </c>
    </row>
    <row r="70" ht="14.25" spans="1:7">
      <c r="A70" s="126"/>
      <c r="B70" s="127" t="s">
        <v>110</v>
      </c>
      <c r="C70" s="130">
        <v>35595</v>
      </c>
      <c r="D70" s="130"/>
      <c r="E70" s="130">
        <v>992</v>
      </c>
      <c r="F70" s="130">
        <f t="shared" si="9"/>
        <v>-992</v>
      </c>
      <c r="G70" s="130">
        <f t="shared" si="10"/>
        <v>34603</v>
      </c>
    </row>
    <row r="71" ht="14.25" spans="1:7">
      <c r="A71" s="126"/>
      <c r="B71" s="127" t="s">
        <v>111</v>
      </c>
      <c r="C71" s="130">
        <v>3048</v>
      </c>
      <c r="D71" s="130">
        <v>1286</v>
      </c>
      <c r="E71" s="130"/>
      <c r="F71" s="130">
        <f t="shared" si="9"/>
        <v>1286</v>
      </c>
      <c r="G71" s="130">
        <f t="shared" si="10"/>
        <v>4334</v>
      </c>
    </row>
    <row r="72" ht="14.25" spans="1:7">
      <c r="A72" s="126"/>
      <c r="B72" s="127" t="s">
        <v>112</v>
      </c>
      <c r="C72" s="130">
        <v>76</v>
      </c>
      <c r="D72" s="130"/>
      <c r="E72" s="130">
        <v>56</v>
      </c>
      <c r="F72" s="130">
        <f t="shared" si="9"/>
        <v>-56</v>
      </c>
      <c r="G72" s="130">
        <f t="shared" si="10"/>
        <v>20</v>
      </c>
    </row>
    <row r="73" ht="14.25" spans="1:7">
      <c r="A73" s="126"/>
      <c r="B73" s="127" t="s">
        <v>113</v>
      </c>
      <c r="C73" s="130">
        <v>156</v>
      </c>
      <c r="D73" s="130"/>
      <c r="E73" s="130">
        <v>88</v>
      </c>
      <c r="F73" s="130">
        <f t="shared" si="9"/>
        <v>-88</v>
      </c>
      <c r="G73" s="130">
        <f t="shared" si="10"/>
        <v>68</v>
      </c>
    </row>
    <row r="74" ht="14.25" spans="1:7">
      <c r="A74" s="126"/>
      <c r="B74" s="127" t="s">
        <v>114</v>
      </c>
      <c r="C74" s="130">
        <v>26</v>
      </c>
      <c r="D74" s="130">
        <v>69</v>
      </c>
      <c r="E74" s="130">
        <v>0</v>
      </c>
      <c r="F74" s="130">
        <f t="shared" si="9"/>
        <v>69</v>
      </c>
      <c r="G74" s="130">
        <f t="shared" si="10"/>
        <v>95</v>
      </c>
    </row>
    <row r="75" ht="14.25" spans="1:7">
      <c r="A75" s="126"/>
      <c r="B75" s="127" t="s">
        <v>115</v>
      </c>
      <c r="C75" s="130"/>
      <c r="D75" s="130">
        <v>3</v>
      </c>
      <c r="E75" s="130"/>
      <c r="F75" s="130">
        <f t="shared" si="9"/>
        <v>3</v>
      </c>
      <c r="G75" s="130">
        <f t="shared" si="10"/>
        <v>3</v>
      </c>
    </row>
    <row r="76" ht="14.25" spans="1:7">
      <c r="A76" s="126"/>
      <c r="B76" s="127" t="s">
        <v>116</v>
      </c>
      <c r="C76" s="130">
        <v>580</v>
      </c>
      <c r="D76" s="130">
        <f>192+79</f>
        <v>271</v>
      </c>
      <c r="E76" s="130"/>
      <c r="F76" s="130">
        <f t="shared" si="9"/>
        <v>271</v>
      </c>
      <c r="G76" s="130">
        <f t="shared" si="10"/>
        <v>851</v>
      </c>
    </row>
    <row r="77" ht="14.25" spans="1:7">
      <c r="A77" s="126"/>
      <c r="B77" s="127" t="s">
        <v>117</v>
      </c>
      <c r="C77" s="130">
        <v>16600</v>
      </c>
      <c r="D77" s="130"/>
      <c r="E77" s="130">
        <v>16600</v>
      </c>
      <c r="F77" s="130">
        <f t="shared" si="9"/>
        <v>-16600</v>
      </c>
      <c r="G77" s="130">
        <f t="shared" si="10"/>
        <v>0</v>
      </c>
    </row>
    <row r="78" ht="14.25" spans="1:7">
      <c r="A78" s="126" t="s">
        <v>14</v>
      </c>
      <c r="B78" s="127" t="s">
        <v>118</v>
      </c>
      <c r="C78" s="130">
        <v>12893</v>
      </c>
      <c r="D78" s="129">
        <v>0</v>
      </c>
      <c r="E78" s="129">
        <v>0</v>
      </c>
      <c r="F78" s="130">
        <f t="shared" si="9"/>
        <v>0</v>
      </c>
      <c r="G78" s="130">
        <f t="shared" si="10"/>
        <v>12893</v>
      </c>
    </row>
    <row r="79" ht="14.25" spans="1:7">
      <c r="A79" s="126" t="s">
        <v>20</v>
      </c>
      <c r="B79" s="127" t="s">
        <v>119</v>
      </c>
      <c r="C79" s="129">
        <f>SUM(C80:C82)</f>
        <v>53000</v>
      </c>
      <c r="D79" s="129">
        <f>SUM(D80:D82)</f>
        <v>0</v>
      </c>
      <c r="E79" s="129">
        <f>SUM(E80:E82)</f>
        <v>26065</v>
      </c>
      <c r="F79" s="129">
        <f>SUM(F80:F82)</f>
        <v>-26065</v>
      </c>
      <c r="G79" s="129">
        <f>SUM(G80:G82)</f>
        <v>26935</v>
      </c>
    </row>
    <row r="80" ht="14.25" spans="1:7">
      <c r="A80" s="126"/>
      <c r="B80" s="127" t="s">
        <v>120</v>
      </c>
      <c r="C80" s="130">
        <v>30000</v>
      </c>
      <c r="D80" s="130"/>
      <c r="E80" s="130">
        <f>30000-20277</f>
        <v>9723</v>
      </c>
      <c r="F80" s="130">
        <f t="shared" ref="F80:F84" si="11">D80-E80</f>
        <v>-9723</v>
      </c>
      <c r="G80" s="134">
        <f>C80+F80</f>
        <v>20277</v>
      </c>
    </row>
    <row r="81" ht="14.25" spans="1:7">
      <c r="A81" s="126"/>
      <c r="B81" s="127" t="s">
        <v>121</v>
      </c>
      <c r="C81" s="130">
        <v>200</v>
      </c>
      <c r="D81" s="130"/>
      <c r="E81" s="130">
        <f>200-158</f>
        <v>42</v>
      </c>
      <c r="F81" s="130">
        <f t="shared" si="11"/>
        <v>-42</v>
      </c>
      <c r="G81" s="130">
        <f t="shared" ref="G80:G84" si="12">C81+F81</f>
        <v>158</v>
      </c>
    </row>
    <row r="82" ht="14.25" spans="1:7">
      <c r="A82" s="126"/>
      <c r="B82" s="135" t="s">
        <v>122</v>
      </c>
      <c r="C82" s="130">
        <f>23000-200</f>
        <v>22800</v>
      </c>
      <c r="D82" s="130"/>
      <c r="E82" s="130">
        <f>22800-6500</f>
        <v>16300</v>
      </c>
      <c r="F82" s="130">
        <f t="shared" si="11"/>
        <v>-16300</v>
      </c>
      <c r="G82" s="130">
        <f t="shared" si="12"/>
        <v>6500</v>
      </c>
    </row>
    <row r="83" ht="14.25" spans="1:7">
      <c r="A83" s="126" t="s">
        <v>36</v>
      </c>
      <c r="B83" s="127" t="s">
        <v>123</v>
      </c>
      <c r="C83" s="129">
        <v>18000</v>
      </c>
      <c r="D83" s="129">
        <f>20800-18000</f>
        <v>2800</v>
      </c>
      <c r="E83" s="129"/>
      <c r="F83" s="129">
        <f t="shared" si="11"/>
        <v>2800</v>
      </c>
      <c r="G83" s="129">
        <f t="shared" si="12"/>
        <v>20800</v>
      </c>
    </row>
    <row r="84" ht="14.25" spans="1:7">
      <c r="A84" s="126" t="s">
        <v>124</v>
      </c>
      <c r="B84" s="127" t="s">
        <v>125</v>
      </c>
      <c r="C84" s="130">
        <v>0</v>
      </c>
      <c r="D84" s="130">
        <v>3015</v>
      </c>
      <c r="E84" s="130"/>
      <c r="F84" s="130">
        <f t="shared" si="11"/>
        <v>3015</v>
      </c>
      <c r="G84" s="130">
        <f t="shared" si="12"/>
        <v>3015</v>
      </c>
    </row>
    <row r="85" ht="18.75" spans="1:7">
      <c r="A85" s="121" t="s">
        <v>126</v>
      </c>
      <c r="B85" s="121"/>
      <c r="C85" s="131">
        <f>C5+C29</f>
        <v>447117</v>
      </c>
      <c r="D85" s="131">
        <f>D5+D29</f>
        <v>67484</v>
      </c>
      <c r="E85" s="131">
        <f>E5+E29</f>
        <v>91669</v>
      </c>
      <c r="F85" s="131">
        <f>F5+F29</f>
        <v>-24185</v>
      </c>
      <c r="G85" s="131">
        <f>G5+G29</f>
        <v>422932</v>
      </c>
    </row>
    <row r="86" ht="53" customHeight="1"/>
  </sheetData>
  <mergeCells count="3">
    <mergeCell ref="A2:G2"/>
    <mergeCell ref="A85:B85"/>
    <mergeCell ref="J18:J19"/>
  </mergeCells>
  <printOptions horizontalCentered="1"/>
  <pageMargins left="0.708661417322835" right="0.708661417322835" top="0.748031496062992" bottom="0.748031496062992" header="0.31496062992126" footer="0.31496062992126"/>
  <pageSetup paperSize="9" scale="7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view="pageBreakPreview" zoomScaleNormal="100" topLeftCell="A12" workbookViewId="0">
      <selection activeCell="G14" sqref="G14"/>
    </sheetView>
  </sheetViews>
  <sheetFormatPr defaultColWidth="9" defaultRowHeight="13.5"/>
  <cols>
    <col min="1" max="1" width="9.25" customWidth="1"/>
    <col min="2" max="2" width="30" customWidth="1"/>
    <col min="3" max="3" width="12.625" customWidth="1"/>
    <col min="4" max="5" width="10.25" customWidth="1"/>
    <col min="6" max="6" width="12.875" customWidth="1"/>
    <col min="7" max="7" width="16.25" customWidth="1"/>
    <col min="8" max="8" width="32.625" style="77" customWidth="1"/>
    <col min="9" max="9" width="12.625"/>
    <col min="11" max="11" width="11.5"/>
    <col min="14" max="14" width="12.625"/>
    <col min="15" max="15" width="11.5"/>
  </cols>
  <sheetData>
    <row r="1" customFormat="1" spans="1:8">
      <c r="A1" t="s">
        <v>127</v>
      </c>
      <c r="H1" s="77"/>
    </row>
    <row r="2" ht="19.5" spans="1:8">
      <c r="A2" s="78" t="s">
        <v>128</v>
      </c>
      <c r="B2" s="78"/>
      <c r="C2" s="78"/>
      <c r="D2" s="78"/>
      <c r="E2" s="78"/>
      <c r="F2" s="78"/>
      <c r="G2" s="78"/>
      <c r="H2" s="78"/>
    </row>
    <row r="3" ht="15.75" spans="1:8">
      <c r="A3" s="79"/>
      <c r="B3" s="79"/>
      <c r="C3" s="79"/>
      <c r="D3" s="79"/>
      <c r="E3" s="80"/>
      <c r="F3" s="80"/>
      <c r="G3" s="41"/>
      <c r="H3" s="41" t="s">
        <v>2</v>
      </c>
    </row>
    <row r="4" spans="1:8">
      <c r="A4" s="81" t="s">
        <v>42</v>
      </c>
      <c r="B4" s="82" t="s">
        <v>43</v>
      </c>
      <c r="C4" s="82" t="s">
        <v>4</v>
      </c>
      <c r="D4" s="82" t="s">
        <v>44</v>
      </c>
      <c r="E4" s="82" t="s">
        <v>45</v>
      </c>
      <c r="F4" s="82" t="s">
        <v>129</v>
      </c>
      <c r="G4" s="83" t="s">
        <v>5</v>
      </c>
      <c r="H4" s="84" t="s">
        <v>130</v>
      </c>
    </row>
    <row r="5" spans="1:8">
      <c r="A5" s="85"/>
      <c r="B5" s="86"/>
      <c r="C5" s="86"/>
      <c r="D5" s="86"/>
      <c r="E5" s="86"/>
      <c r="F5" s="86"/>
      <c r="G5" s="87"/>
      <c r="H5" s="88"/>
    </row>
    <row r="6" spans="1:8">
      <c r="A6" s="85"/>
      <c r="B6" s="86"/>
      <c r="C6" s="86"/>
      <c r="D6" s="86"/>
      <c r="E6" s="86"/>
      <c r="F6" s="86"/>
      <c r="G6" s="87"/>
      <c r="H6" s="89"/>
    </row>
    <row r="7" ht="29.25" customHeight="1" spans="1:8">
      <c r="A7" s="90" t="s">
        <v>131</v>
      </c>
      <c r="B7" s="91"/>
      <c r="C7" s="92">
        <f t="shared" ref="C7:G7" si="0">C8+C24</f>
        <v>447117</v>
      </c>
      <c r="D7" s="92">
        <f t="shared" si="0"/>
        <v>19647</v>
      </c>
      <c r="E7" s="92">
        <f t="shared" si="0"/>
        <v>43832</v>
      </c>
      <c r="F7" s="92">
        <f t="shared" si="0"/>
        <v>-24185</v>
      </c>
      <c r="G7" s="93">
        <f t="shared" si="0"/>
        <v>422932</v>
      </c>
      <c r="H7" s="59"/>
    </row>
    <row r="8" ht="29.25" customHeight="1" spans="1:8">
      <c r="A8" s="94" t="s">
        <v>132</v>
      </c>
      <c r="B8" s="95"/>
      <c r="C8" s="96">
        <f>SUM(C9,C13)</f>
        <v>373660</v>
      </c>
      <c r="D8" s="96">
        <f>SUM(D9,D13)</f>
        <v>15172</v>
      </c>
      <c r="E8" s="96">
        <f>SUM(E9,E13)</f>
        <v>43832</v>
      </c>
      <c r="F8" s="96">
        <f>SUM(F9,F13)</f>
        <v>-28660</v>
      </c>
      <c r="G8" s="96">
        <f>SUM(G9,G13)</f>
        <v>345000</v>
      </c>
      <c r="H8" s="59"/>
    </row>
    <row r="9" ht="29.25" customHeight="1" spans="1:10">
      <c r="A9" s="97" t="s">
        <v>10</v>
      </c>
      <c r="B9" s="98" t="s">
        <v>133</v>
      </c>
      <c r="C9" s="99">
        <f>SUM(C10:C12)</f>
        <v>244054</v>
      </c>
      <c r="D9" s="99">
        <f>SUM(D10:D12)</f>
        <v>8121</v>
      </c>
      <c r="E9" s="99">
        <f>SUM(E10:E12)</f>
        <v>20954</v>
      </c>
      <c r="F9" s="99">
        <f>SUM(F10:F12)</f>
        <v>-12833</v>
      </c>
      <c r="G9" s="99">
        <f>SUM(G10:G12)</f>
        <v>231221</v>
      </c>
      <c r="H9" s="59"/>
      <c r="J9" s="76"/>
    </row>
    <row r="10" ht="60" customHeight="1" spans="1:8">
      <c r="A10" s="97" t="s">
        <v>29</v>
      </c>
      <c r="B10" s="100" t="s">
        <v>134</v>
      </c>
      <c r="C10" s="101">
        <v>179719</v>
      </c>
      <c r="D10" s="101"/>
      <c r="E10" s="101">
        <f>179719-167240</f>
        <v>12479</v>
      </c>
      <c r="F10" s="99">
        <f>D10-E10</f>
        <v>-12479</v>
      </c>
      <c r="G10" s="102">
        <f>C10+D10-E10</f>
        <v>167240</v>
      </c>
      <c r="H10" s="59"/>
    </row>
    <row r="11" ht="60" customHeight="1" spans="1:8">
      <c r="A11" s="97" t="s">
        <v>31</v>
      </c>
      <c r="B11" s="100" t="s">
        <v>135</v>
      </c>
      <c r="C11" s="101">
        <v>12754</v>
      </c>
      <c r="D11" s="101"/>
      <c r="E11" s="101">
        <f>12754-4279</f>
        <v>8475</v>
      </c>
      <c r="F11" s="99">
        <f>D11-E11</f>
        <v>-8475</v>
      </c>
      <c r="G11" s="102">
        <f>C11+D11-E11</f>
        <v>4279</v>
      </c>
      <c r="H11" s="59"/>
    </row>
    <row r="12" ht="60" customHeight="1" spans="1:8">
      <c r="A12" s="97" t="s">
        <v>33</v>
      </c>
      <c r="B12" s="100" t="s">
        <v>136</v>
      </c>
      <c r="C12" s="101">
        <v>51581</v>
      </c>
      <c r="D12" s="101">
        <f>59702-51581</f>
        <v>8121</v>
      </c>
      <c r="E12" s="101"/>
      <c r="F12" s="99">
        <f>D12-E12</f>
        <v>8121</v>
      </c>
      <c r="G12" s="102">
        <f>C12+D12-E12</f>
        <v>59702</v>
      </c>
      <c r="H12" s="59"/>
    </row>
    <row r="13" ht="60" customHeight="1" spans="1:8">
      <c r="A13" s="97" t="s">
        <v>14</v>
      </c>
      <c r="B13" s="100" t="s">
        <v>137</v>
      </c>
      <c r="C13" s="101">
        <f>SUM(C14:C19)</f>
        <v>129606</v>
      </c>
      <c r="D13" s="101">
        <f>SUM(D14:D19)</f>
        <v>7051</v>
      </c>
      <c r="E13" s="101">
        <f>SUM(E14:E19)</f>
        <v>22878</v>
      </c>
      <c r="F13" s="101">
        <f>SUM(F14:F19)</f>
        <v>-15827</v>
      </c>
      <c r="G13" s="101">
        <f>SUM(G14:G19)</f>
        <v>113779</v>
      </c>
      <c r="H13" s="59"/>
    </row>
    <row r="14" ht="60" customHeight="1" spans="1:8">
      <c r="A14" s="97" t="s">
        <v>29</v>
      </c>
      <c r="B14" s="100" t="s">
        <v>138</v>
      </c>
      <c r="C14" s="101">
        <v>2900</v>
      </c>
      <c r="D14" s="101"/>
      <c r="E14" s="101">
        <f>2900-2572</f>
        <v>328</v>
      </c>
      <c r="F14" s="101">
        <f>D14-E14</f>
        <v>-328</v>
      </c>
      <c r="G14" s="102">
        <f>C14+D14-E14</f>
        <v>2572</v>
      </c>
      <c r="H14" s="59"/>
    </row>
    <row r="15" ht="60" customHeight="1" spans="1:8">
      <c r="A15" s="97" t="s">
        <v>31</v>
      </c>
      <c r="B15" s="103" t="s">
        <v>139</v>
      </c>
      <c r="C15" s="101">
        <v>4647</v>
      </c>
      <c r="D15" s="101"/>
      <c r="E15" s="101"/>
      <c r="F15" s="101">
        <f>D15-E15</f>
        <v>0</v>
      </c>
      <c r="G15" s="102">
        <f>C15+D15-E15</f>
        <v>4647</v>
      </c>
      <c r="H15" s="59"/>
    </row>
    <row r="16" ht="60" customHeight="1" spans="1:8">
      <c r="A16" s="97" t="s">
        <v>33</v>
      </c>
      <c r="B16" s="104" t="s">
        <v>140</v>
      </c>
      <c r="C16" s="101">
        <f>29373+105</f>
        <v>29478</v>
      </c>
      <c r="D16" s="101">
        <f>6756-105</f>
        <v>6651</v>
      </c>
      <c r="E16" s="101"/>
      <c r="F16" s="101">
        <f>D16-E16</f>
        <v>6651</v>
      </c>
      <c r="G16" s="102">
        <f>C16+D16-E16</f>
        <v>36129</v>
      </c>
      <c r="H16" s="59"/>
    </row>
    <row r="17" ht="60" customHeight="1" spans="1:8">
      <c r="A17" s="97" t="s">
        <v>141</v>
      </c>
      <c r="B17" s="100" t="s">
        <v>142</v>
      </c>
      <c r="C17" s="101">
        <v>70481</v>
      </c>
      <c r="D17" s="101"/>
      <c r="E17" s="101">
        <f>70481-59717</f>
        <v>10764</v>
      </c>
      <c r="F17" s="101">
        <f>D17-E17</f>
        <v>-10764</v>
      </c>
      <c r="G17" s="102">
        <f>C17+D17-E17</f>
        <v>59717</v>
      </c>
      <c r="H17" s="59"/>
    </row>
    <row r="18" ht="60" customHeight="1" spans="1:8">
      <c r="A18" s="97" t="s">
        <v>143</v>
      </c>
      <c r="B18" s="104" t="s">
        <v>144</v>
      </c>
      <c r="C18" s="101">
        <v>4000</v>
      </c>
      <c r="D18" s="101"/>
      <c r="E18" s="101">
        <v>4000</v>
      </c>
      <c r="F18" s="101">
        <f>D18-E18</f>
        <v>-4000</v>
      </c>
      <c r="G18" s="102">
        <f>C18+D18-E18</f>
        <v>0</v>
      </c>
      <c r="H18" s="59"/>
    </row>
    <row r="19" ht="60" customHeight="1" spans="1:8">
      <c r="A19" s="97" t="s">
        <v>145</v>
      </c>
      <c r="B19" s="103" t="s">
        <v>146</v>
      </c>
      <c r="C19" s="101">
        <f>SUM(C20:C23)</f>
        <v>18100</v>
      </c>
      <c r="D19" s="101">
        <f>SUM(D20:D23)</f>
        <v>400</v>
      </c>
      <c r="E19" s="101">
        <f>SUM(E20:E23)</f>
        <v>7786</v>
      </c>
      <c r="F19" s="101">
        <f>SUM(F20:F23)</f>
        <v>-7386</v>
      </c>
      <c r="G19" s="101">
        <f>SUM(G20:G23)</f>
        <v>10714</v>
      </c>
      <c r="H19" s="59"/>
    </row>
    <row r="20" ht="60" customHeight="1" spans="1:8">
      <c r="A20" s="97" t="s">
        <v>147</v>
      </c>
      <c r="B20" s="104" t="s">
        <v>148</v>
      </c>
      <c r="C20" s="101">
        <v>3000</v>
      </c>
      <c r="D20" s="101"/>
      <c r="E20" s="101">
        <v>3000</v>
      </c>
      <c r="F20" s="99">
        <f>D20-E20</f>
        <v>-3000</v>
      </c>
      <c r="G20" s="102">
        <f>C20+D20-E20</f>
        <v>0</v>
      </c>
      <c r="H20" s="59"/>
    </row>
    <row r="21" ht="60" customHeight="1" spans="1:8">
      <c r="A21" s="97" t="s">
        <v>149</v>
      </c>
      <c r="B21" s="104" t="s">
        <v>150</v>
      </c>
      <c r="C21" s="101">
        <v>9500</v>
      </c>
      <c r="D21" s="101"/>
      <c r="E21" s="101">
        <f>9500-6314</f>
        <v>3186</v>
      </c>
      <c r="F21" s="99">
        <f>D21-E21</f>
        <v>-3186</v>
      </c>
      <c r="G21" s="102">
        <f>C21+D21-E21</f>
        <v>6314</v>
      </c>
      <c r="H21" s="105"/>
    </row>
    <row r="22" ht="60" customHeight="1" spans="1:8">
      <c r="A22" s="97" t="s">
        <v>151</v>
      </c>
      <c r="B22" s="104" t="s">
        <v>152</v>
      </c>
      <c r="C22" s="101">
        <v>3600</v>
      </c>
      <c r="D22" s="101">
        <v>400</v>
      </c>
      <c r="E22" s="101"/>
      <c r="F22" s="99">
        <f>D22-E22</f>
        <v>400</v>
      </c>
      <c r="G22" s="102">
        <f>C22+D22-E22</f>
        <v>4000</v>
      </c>
      <c r="H22" s="106"/>
    </row>
    <row r="23" ht="60" customHeight="1" spans="1:8">
      <c r="A23" s="97" t="s">
        <v>153</v>
      </c>
      <c r="B23" s="104" t="s">
        <v>154</v>
      </c>
      <c r="C23" s="101">
        <v>2000</v>
      </c>
      <c r="D23" s="101"/>
      <c r="E23" s="101">
        <v>1600</v>
      </c>
      <c r="F23" s="99">
        <f>D23-E23</f>
        <v>-1600</v>
      </c>
      <c r="G23" s="102">
        <f>C23+D23-E23</f>
        <v>400</v>
      </c>
      <c r="H23" s="106"/>
    </row>
    <row r="24" ht="60" customHeight="1" spans="1:8">
      <c r="A24" s="94" t="s">
        <v>155</v>
      </c>
      <c r="B24" s="95"/>
      <c r="C24" s="107">
        <f>SUM(C25:C27)</f>
        <v>73457</v>
      </c>
      <c r="D24" s="107">
        <f>SUM(D25:D27)</f>
        <v>4475</v>
      </c>
      <c r="E24" s="107">
        <f>SUM(E25:E27)</f>
        <v>0</v>
      </c>
      <c r="F24" s="107">
        <f>SUM(F25:F27)</f>
        <v>4475</v>
      </c>
      <c r="G24" s="107">
        <f>SUM(G25:G27)</f>
        <v>77932</v>
      </c>
      <c r="H24" s="59"/>
    </row>
    <row r="25" ht="60" customHeight="1" spans="1:8">
      <c r="A25" s="97" t="s">
        <v>10</v>
      </c>
      <c r="B25" s="100" t="s">
        <v>16</v>
      </c>
      <c r="C25" s="101">
        <v>23186</v>
      </c>
      <c r="D25" s="101"/>
      <c r="E25" s="101"/>
      <c r="F25" s="99">
        <f>D25-E25</f>
        <v>0</v>
      </c>
      <c r="G25" s="102">
        <f>C25+D25-E25</f>
        <v>23186</v>
      </c>
      <c r="H25" s="59"/>
    </row>
    <row r="26" ht="60" customHeight="1" spans="1:8">
      <c r="A26" s="97" t="s">
        <v>14</v>
      </c>
      <c r="B26" s="100" t="s">
        <v>21</v>
      </c>
      <c r="C26" s="101">
        <v>7850</v>
      </c>
      <c r="D26" s="101">
        <f>10165-7850</f>
        <v>2315</v>
      </c>
      <c r="E26" s="101"/>
      <c r="F26" s="99">
        <f>D26-E26</f>
        <v>2315</v>
      </c>
      <c r="G26" s="102">
        <f>C26+D26-E26</f>
        <v>10165</v>
      </c>
      <c r="H26" s="59"/>
    </row>
    <row r="27" ht="51" customHeight="1" spans="1:8">
      <c r="A27" s="97" t="s">
        <v>20</v>
      </c>
      <c r="B27" s="100" t="s">
        <v>24</v>
      </c>
      <c r="C27" s="101">
        <v>42421</v>
      </c>
      <c r="D27" s="101">
        <f>44581-42421</f>
        <v>2160</v>
      </c>
      <c r="E27" s="101"/>
      <c r="F27" s="99">
        <f>D27-E27</f>
        <v>2160</v>
      </c>
      <c r="G27" s="102">
        <f>C27+D27-E27</f>
        <v>44581</v>
      </c>
      <c r="H27" s="59"/>
    </row>
    <row r="28" customFormat="1" spans="8:8">
      <c r="H28" s="77"/>
    </row>
    <row r="29" customFormat="1" spans="8:8">
      <c r="H29" s="77"/>
    </row>
    <row r="30" customFormat="1" spans="8:8">
      <c r="H30" s="77"/>
    </row>
    <row r="31" customFormat="1" spans="8:8">
      <c r="H31" s="77"/>
    </row>
    <row r="32" customFormat="1" spans="8:8">
      <c r="H32" s="77"/>
    </row>
    <row r="33" customFormat="1" spans="8:8">
      <c r="H33" s="77"/>
    </row>
    <row r="34" customFormat="1" spans="8:8">
      <c r="H34" s="77"/>
    </row>
    <row r="35" customFormat="1" spans="8:8">
      <c r="H35" s="77"/>
    </row>
    <row r="36" customFormat="1" spans="8:8">
      <c r="H36" s="77"/>
    </row>
    <row r="37" customFormat="1" spans="8:8">
      <c r="H37" s="77"/>
    </row>
    <row r="38" customFormat="1" spans="8:8">
      <c r="H38" s="77"/>
    </row>
    <row r="39" customFormat="1" spans="8:8">
      <c r="H39" s="77"/>
    </row>
    <row r="40" customFormat="1" spans="8:8">
      <c r="H40" s="77"/>
    </row>
    <row r="41" customFormat="1" spans="8:8">
      <c r="H41" s="77"/>
    </row>
    <row r="42" customFormat="1" spans="8:8">
      <c r="H42" s="77"/>
    </row>
    <row r="43" customFormat="1" spans="8:8">
      <c r="H43" s="77"/>
    </row>
    <row r="44" customFormat="1" spans="8:8">
      <c r="H44" s="77"/>
    </row>
    <row r="45" customFormat="1" spans="8:8">
      <c r="H45" s="77"/>
    </row>
    <row r="46" customFormat="1" spans="8:8">
      <c r="H46" s="77"/>
    </row>
    <row r="47" customFormat="1" spans="8:8">
      <c r="H47" s="77"/>
    </row>
    <row r="48" customFormat="1" spans="8:8">
      <c r="H48" s="77"/>
    </row>
    <row r="49" customFormat="1" spans="8:8">
      <c r="H49" s="77"/>
    </row>
    <row r="50" customFormat="1" spans="8:8">
      <c r="H50" s="77"/>
    </row>
    <row r="51" customFormat="1" spans="8:8">
      <c r="H51" s="77"/>
    </row>
    <row r="52" customFormat="1" spans="8:8">
      <c r="H52" s="77"/>
    </row>
    <row r="53" customFormat="1" spans="8:8">
      <c r="H53" s="77"/>
    </row>
    <row r="54" customFormat="1" spans="8:8">
      <c r="H54" s="77"/>
    </row>
    <row r="55" customFormat="1" spans="8:8">
      <c r="H55" s="77"/>
    </row>
    <row r="56" customFormat="1" spans="8:8">
      <c r="H56" s="77"/>
    </row>
    <row r="57" customFormat="1" spans="8:8">
      <c r="H57" s="77"/>
    </row>
    <row r="58" customFormat="1" spans="8:8">
      <c r="H58" s="77"/>
    </row>
    <row r="59" customFormat="1" spans="8:8">
      <c r="H59" s="77"/>
    </row>
    <row r="60" customFormat="1" spans="8:8">
      <c r="H60" s="77"/>
    </row>
    <row r="61" customFormat="1" spans="8:8">
      <c r="H61" s="77"/>
    </row>
    <row r="62" customFormat="1" spans="8:8">
      <c r="H62" s="77"/>
    </row>
    <row r="63" customFormat="1" spans="8:8">
      <c r="H63" s="77"/>
    </row>
    <row r="64" customFormat="1" spans="8:8">
      <c r="H64" s="77"/>
    </row>
    <row r="65" customFormat="1" spans="8:8">
      <c r="H65" s="77"/>
    </row>
    <row r="66" customFormat="1" spans="8:8">
      <c r="H66" s="77"/>
    </row>
    <row r="67" customFormat="1" spans="8:8">
      <c r="H67" s="77"/>
    </row>
    <row r="68" customFormat="1" spans="8:8">
      <c r="H68" s="77"/>
    </row>
    <row r="69" customFormat="1" spans="8:8">
      <c r="H69" s="77"/>
    </row>
    <row r="70" customFormat="1" spans="8:8">
      <c r="H70" s="77"/>
    </row>
    <row r="71" customFormat="1" spans="8:8">
      <c r="H71" s="77"/>
    </row>
    <row r="72" customFormat="1" spans="8:8">
      <c r="H72" s="77"/>
    </row>
    <row r="73" customFormat="1" ht="18.75" customHeight="1" spans="8:8">
      <c r="H73" s="77"/>
    </row>
  </sheetData>
  <mergeCells count="12">
    <mergeCell ref="A2:H2"/>
    <mergeCell ref="A7:B7"/>
    <mergeCell ref="A8:B8"/>
    <mergeCell ref="A24:B24"/>
    <mergeCell ref="A4:A6"/>
    <mergeCell ref="B4:B6"/>
    <mergeCell ref="C4:C6"/>
    <mergeCell ref="D4:D6"/>
    <mergeCell ref="E4:E6"/>
    <mergeCell ref="F4:F6"/>
    <mergeCell ref="G4:G6"/>
    <mergeCell ref="H4:H6"/>
  </mergeCells>
  <pageMargins left="0.75" right="0.75" top="1" bottom="1" header="0.5" footer="0.5"/>
  <pageSetup paperSize="9" scale="6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Normal="100" topLeftCell="A14" workbookViewId="0">
      <selection activeCell="G22" sqref="G22:G23"/>
    </sheetView>
  </sheetViews>
  <sheetFormatPr defaultColWidth="9" defaultRowHeight="17.25"/>
  <cols>
    <col min="1" max="1" width="12.375" style="32" customWidth="1"/>
    <col min="2" max="2" width="39" style="33" customWidth="1"/>
    <col min="3" max="3" width="20.625" style="34" customWidth="1"/>
    <col min="4" max="7" width="11.25" style="34" customWidth="1"/>
    <col min="8" max="8" width="11.25" customWidth="1"/>
    <col min="10" max="10" width="12.625"/>
  </cols>
  <sheetData>
    <row r="1" customHeight="1" spans="1:7">
      <c r="A1" s="35" t="s">
        <v>156</v>
      </c>
      <c r="B1" s="36"/>
      <c r="C1" s="37"/>
      <c r="D1" s="37"/>
      <c r="E1" s="37"/>
      <c r="F1" s="37"/>
      <c r="G1" s="37"/>
    </row>
    <row r="2" ht="26.25" customHeight="1" spans="1:8">
      <c r="A2" s="38" t="s">
        <v>157</v>
      </c>
      <c r="B2" s="38"/>
      <c r="C2" s="38"/>
      <c r="D2" s="38"/>
      <c r="E2" s="38"/>
      <c r="F2" s="38"/>
      <c r="G2" s="38"/>
      <c r="H2" s="38"/>
    </row>
    <row r="3" ht="14.25" spans="1:8">
      <c r="A3" s="39"/>
      <c r="B3" s="40"/>
      <c r="C3" s="41"/>
      <c r="D3" s="41"/>
      <c r="E3" s="41"/>
      <c r="F3" s="41"/>
      <c r="G3" s="41"/>
      <c r="H3" s="41" t="s">
        <v>2</v>
      </c>
    </row>
    <row r="4" s="62" customFormat="1" ht="48" customHeight="1" spans="1:8">
      <c r="A4" s="42" t="s">
        <v>42</v>
      </c>
      <c r="B4" s="42" t="s">
        <v>43</v>
      </c>
      <c r="C4" s="42" t="s">
        <v>4</v>
      </c>
      <c r="D4" s="43" t="s">
        <v>44</v>
      </c>
      <c r="E4" s="43" t="s">
        <v>45</v>
      </c>
      <c r="F4" s="43" t="s">
        <v>46</v>
      </c>
      <c r="G4" s="43" t="s">
        <v>5</v>
      </c>
      <c r="H4" s="42" t="s">
        <v>130</v>
      </c>
    </row>
    <row r="5" s="29" customFormat="1" ht="42" customHeight="1" spans="1:8">
      <c r="A5" s="42" t="s">
        <v>158</v>
      </c>
      <c r="B5" s="42"/>
      <c r="C5" s="44">
        <f>C6+C13+C16</f>
        <v>60687</v>
      </c>
      <c r="D5" s="44">
        <f>D6+D13+D16</f>
        <v>27688</v>
      </c>
      <c r="E5" s="44">
        <f>E6+E13+E16</f>
        <v>33288</v>
      </c>
      <c r="F5" s="44">
        <f>F6+F13+F16</f>
        <v>-5600</v>
      </c>
      <c r="G5" s="44">
        <f>G6+G13+G16</f>
        <v>55087</v>
      </c>
      <c r="H5" s="64"/>
    </row>
    <row r="6" s="30" customFormat="1" ht="42" customHeight="1" spans="1:8">
      <c r="A6" s="65" t="s">
        <v>159</v>
      </c>
      <c r="B6" s="66"/>
      <c r="C6" s="47">
        <f>SUM(C7:C8,C11:C12)</f>
        <v>49148</v>
      </c>
      <c r="D6" s="47">
        <f>SUM(D7:D8,D11:D12)</f>
        <v>8630</v>
      </c>
      <c r="E6" s="47">
        <f>SUM(E7:E8,E11:E12)</f>
        <v>31948</v>
      </c>
      <c r="F6" s="47">
        <f>SUM(F7:F8,F11:F12)</f>
        <v>-23318</v>
      </c>
      <c r="G6" s="47">
        <f>SUM(G7:G8,G11:G12)</f>
        <v>25830</v>
      </c>
      <c r="H6" s="48"/>
    </row>
    <row r="7" s="31" customFormat="1" ht="42" customHeight="1" spans="1:8">
      <c r="A7" s="49" t="s">
        <v>10</v>
      </c>
      <c r="B7" s="27" t="s">
        <v>160</v>
      </c>
      <c r="C7" s="50">
        <f>42800+4142</f>
        <v>46942</v>
      </c>
      <c r="D7" s="50"/>
      <c r="E7" s="50">
        <f>46942-17000</f>
        <v>29942</v>
      </c>
      <c r="F7" s="67">
        <f>D7-E7</f>
        <v>-29942</v>
      </c>
      <c r="G7" s="67">
        <f>C7+F7</f>
        <v>17000</v>
      </c>
      <c r="H7" s="51"/>
    </row>
    <row r="8" s="63" customFormat="1" ht="42" customHeight="1" spans="1:8">
      <c r="A8" s="49" t="s">
        <v>14</v>
      </c>
      <c r="B8" s="27" t="s">
        <v>161</v>
      </c>
      <c r="C8" s="68">
        <f t="shared" ref="C8:G8" si="0">SUM(C9:C10)</f>
        <v>2006</v>
      </c>
      <c r="D8" s="68">
        <f t="shared" si="0"/>
        <v>0</v>
      </c>
      <c r="E8" s="68">
        <f t="shared" si="0"/>
        <v>2006</v>
      </c>
      <c r="F8" s="68">
        <f t="shared" si="0"/>
        <v>-2006</v>
      </c>
      <c r="G8" s="68">
        <f t="shared" si="0"/>
        <v>0</v>
      </c>
      <c r="H8" s="69"/>
    </row>
    <row r="9" s="31" customFormat="1" ht="42" customHeight="1" spans="1:10">
      <c r="A9" s="49" t="s">
        <v>29</v>
      </c>
      <c r="B9" s="27" t="s">
        <v>162</v>
      </c>
      <c r="C9" s="67">
        <v>1505</v>
      </c>
      <c r="D9" s="67"/>
      <c r="E9" s="67">
        <v>1505</v>
      </c>
      <c r="F9" s="67">
        <f>D9-E9</f>
        <v>-1505</v>
      </c>
      <c r="G9" s="67">
        <f>C9+F9</f>
        <v>0</v>
      </c>
      <c r="H9" s="69"/>
      <c r="J9" s="75"/>
    </row>
    <row r="10" s="31" customFormat="1" ht="51" customHeight="1" spans="1:10">
      <c r="A10" s="49" t="s">
        <v>31</v>
      </c>
      <c r="B10" s="27" t="s">
        <v>163</v>
      </c>
      <c r="C10" s="67">
        <v>501</v>
      </c>
      <c r="D10" s="67"/>
      <c r="E10" s="67">
        <v>501</v>
      </c>
      <c r="F10" s="67">
        <f>D10-E10</f>
        <v>-501</v>
      </c>
      <c r="G10" s="67">
        <f>C10+F10</f>
        <v>0</v>
      </c>
      <c r="H10" s="69"/>
      <c r="J10" s="75"/>
    </row>
    <row r="11" s="31" customFormat="1" ht="34" customHeight="1" spans="1:10">
      <c r="A11" s="49" t="s">
        <v>20</v>
      </c>
      <c r="B11" s="27" t="s">
        <v>164</v>
      </c>
      <c r="C11" s="67"/>
      <c r="D11" s="67">
        <v>8600</v>
      </c>
      <c r="E11" s="67"/>
      <c r="F11" s="67">
        <f>D11-E11</f>
        <v>8600</v>
      </c>
      <c r="G11" s="67">
        <f>C11+F11</f>
        <v>8600</v>
      </c>
      <c r="H11" s="69"/>
      <c r="J11" s="75"/>
    </row>
    <row r="12" s="31" customFormat="1" ht="25.5" customHeight="1" spans="1:8">
      <c r="A12" s="49" t="s">
        <v>36</v>
      </c>
      <c r="B12" s="27" t="s">
        <v>165</v>
      </c>
      <c r="C12" s="50">
        <v>200</v>
      </c>
      <c r="D12" s="50">
        <v>30</v>
      </c>
      <c r="E12" s="50"/>
      <c r="F12" s="67">
        <f>D12-E12</f>
        <v>30</v>
      </c>
      <c r="G12" s="67">
        <f>C12+F12</f>
        <v>230</v>
      </c>
      <c r="H12" s="51"/>
    </row>
    <row r="13" s="30" customFormat="1" ht="33" customHeight="1" spans="1:8">
      <c r="A13" s="65" t="s">
        <v>166</v>
      </c>
      <c r="B13" s="66"/>
      <c r="C13" s="47">
        <f>SUM(C14:C15)</f>
        <v>7939</v>
      </c>
      <c r="D13" s="47">
        <f>SUM(D14:D15)</f>
        <v>0</v>
      </c>
      <c r="E13" s="47">
        <f>SUM(E14:E15)</f>
        <v>1340</v>
      </c>
      <c r="F13" s="47">
        <f>SUM(F14:F15)</f>
        <v>-1340</v>
      </c>
      <c r="G13" s="47">
        <f>SUM(G14:G15)</f>
        <v>6599</v>
      </c>
      <c r="H13" s="48"/>
    </row>
    <row r="14" s="30" customFormat="1" ht="33" customHeight="1" spans="1:8">
      <c r="A14" s="49" t="s">
        <v>10</v>
      </c>
      <c r="B14" s="70" t="s">
        <v>167</v>
      </c>
      <c r="C14" s="50">
        <v>6450</v>
      </c>
      <c r="D14" s="50"/>
      <c r="E14" s="50">
        <f>6450-5110</f>
        <v>1340</v>
      </c>
      <c r="F14" s="67">
        <f>D14-E14</f>
        <v>-1340</v>
      </c>
      <c r="G14" s="67">
        <f>C14+F14</f>
        <v>5110</v>
      </c>
      <c r="H14" s="48"/>
    </row>
    <row r="15" s="31" customFormat="1" ht="33" customHeight="1" spans="1:8">
      <c r="A15" s="49" t="s">
        <v>14</v>
      </c>
      <c r="B15" s="70" t="s">
        <v>27</v>
      </c>
      <c r="C15" s="50">
        <v>1489</v>
      </c>
      <c r="D15" s="50"/>
      <c r="E15" s="50"/>
      <c r="F15" s="67">
        <f>D15-E15</f>
        <v>0</v>
      </c>
      <c r="G15" s="67">
        <f>C15+F15</f>
        <v>1489</v>
      </c>
      <c r="H15" s="51"/>
    </row>
    <row r="16" s="30" customFormat="1" ht="33" customHeight="1" spans="1:8">
      <c r="A16" s="71" t="s">
        <v>168</v>
      </c>
      <c r="B16" s="72"/>
      <c r="C16" s="47">
        <f t="shared" ref="C16:G16" si="1">C17</f>
        <v>3600</v>
      </c>
      <c r="D16" s="47">
        <f t="shared" si="1"/>
        <v>19058</v>
      </c>
      <c r="E16" s="47">
        <f t="shared" si="1"/>
        <v>0</v>
      </c>
      <c r="F16" s="47">
        <f t="shared" si="1"/>
        <v>19058</v>
      </c>
      <c r="G16" s="47">
        <f t="shared" si="1"/>
        <v>22658</v>
      </c>
      <c r="H16" s="48"/>
    </row>
    <row r="17" s="31" customFormat="1" ht="33" customHeight="1" spans="1:11">
      <c r="A17" s="49" t="s">
        <v>10</v>
      </c>
      <c r="B17" s="27" t="s">
        <v>169</v>
      </c>
      <c r="C17" s="67">
        <f>SUM(C18:C19)</f>
        <v>3600</v>
      </c>
      <c r="D17" s="67">
        <f>SUM(D18:D19)</f>
        <v>19058</v>
      </c>
      <c r="E17" s="67">
        <f>SUM(E18:E19)</f>
        <v>0</v>
      </c>
      <c r="F17" s="67">
        <f>SUM(F18:F19)</f>
        <v>19058</v>
      </c>
      <c r="G17" s="67">
        <f>SUM(G18:G19)</f>
        <v>22658</v>
      </c>
      <c r="H17" s="51"/>
      <c r="K17" s="75"/>
    </row>
    <row r="18" s="31" customFormat="1" ht="33" customHeight="1" spans="1:11">
      <c r="A18" s="49" t="s">
        <v>170</v>
      </c>
      <c r="B18" s="27" t="s">
        <v>171</v>
      </c>
      <c r="C18" s="50">
        <v>3600</v>
      </c>
      <c r="D18" s="50">
        <v>1458</v>
      </c>
      <c r="E18" s="50"/>
      <c r="F18" s="67">
        <f>D18-E18</f>
        <v>1458</v>
      </c>
      <c r="G18" s="67">
        <f>C18+F18</f>
        <v>5058</v>
      </c>
      <c r="H18" s="51"/>
      <c r="K18" s="75"/>
    </row>
    <row r="19" s="31" customFormat="1" ht="33" customHeight="1" spans="1:8">
      <c r="A19" s="49" t="s">
        <v>172</v>
      </c>
      <c r="B19" s="27" t="s">
        <v>173</v>
      </c>
      <c r="C19" s="50">
        <v>0</v>
      </c>
      <c r="D19" s="50">
        <v>17600</v>
      </c>
      <c r="E19" s="50"/>
      <c r="F19" s="67">
        <f>D19-E19</f>
        <v>17600</v>
      </c>
      <c r="G19" s="67">
        <f>C19+F19</f>
        <v>17600</v>
      </c>
      <c r="H19" s="73"/>
    </row>
    <row r="20" ht="33" customHeight="1" spans="1:10">
      <c r="A20" s="42" t="s">
        <v>131</v>
      </c>
      <c r="B20" s="42"/>
      <c r="C20" s="44">
        <f>C21+C28</f>
        <v>60687</v>
      </c>
      <c r="D20" s="44">
        <f>D21+D28</f>
        <v>19036</v>
      </c>
      <c r="E20" s="44">
        <f>E21+E28</f>
        <v>24636</v>
      </c>
      <c r="F20" s="44">
        <f>F21+F28</f>
        <v>-5600</v>
      </c>
      <c r="G20" s="44">
        <f>G21+G28</f>
        <v>55087</v>
      </c>
      <c r="H20" s="55"/>
      <c r="I20" s="76"/>
      <c r="J20" s="76"/>
    </row>
    <row r="21" ht="33" customHeight="1" spans="1:8">
      <c r="A21" s="65" t="s">
        <v>174</v>
      </c>
      <c r="B21" s="66"/>
      <c r="C21" s="47">
        <f>SUM(C22:C27)</f>
        <v>25050</v>
      </c>
      <c r="D21" s="47">
        <f>SUM(D22:D27)</f>
        <v>17600</v>
      </c>
      <c r="E21" s="47">
        <f>SUM(E22:E27)</f>
        <v>13791</v>
      </c>
      <c r="F21" s="47">
        <f>SUM(F22:F27)</f>
        <v>3809</v>
      </c>
      <c r="G21" s="47">
        <f>SUM(G22:G27)</f>
        <v>28859</v>
      </c>
      <c r="H21" s="55"/>
    </row>
    <row r="22" s="31" customFormat="1" ht="33" customHeight="1" spans="1:8">
      <c r="A22" s="49" t="s">
        <v>10</v>
      </c>
      <c r="B22" s="70" t="s">
        <v>175</v>
      </c>
      <c r="C22" s="67">
        <v>5315</v>
      </c>
      <c r="D22" s="67"/>
      <c r="E22" s="67">
        <f>5315-5080</f>
        <v>235</v>
      </c>
      <c r="F22" s="67">
        <f t="shared" ref="F22:F27" si="2">D22-E22</f>
        <v>-235</v>
      </c>
      <c r="G22" s="67">
        <f t="shared" ref="G22:G27" si="3">C22+F22</f>
        <v>5080</v>
      </c>
      <c r="H22" s="51"/>
    </row>
    <row r="23" s="31" customFormat="1" ht="33" customHeight="1" spans="1:8">
      <c r="A23" s="49" t="s">
        <v>14</v>
      </c>
      <c r="B23" s="70" t="s">
        <v>176</v>
      </c>
      <c r="C23" s="67">
        <v>285</v>
      </c>
      <c r="D23" s="67"/>
      <c r="E23" s="67">
        <v>25</v>
      </c>
      <c r="F23" s="67">
        <f t="shared" si="2"/>
        <v>-25</v>
      </c>
      <c r="G23" s="67">
        <f t="shared" si="3"/>
        <v>260</v>
      </c>
      <c r="H23" s="51"/>
    </row>
    <row r="24" s="31" customFormat="1" ht="33" customHeight="1" spans="1:11">
      <c r="A24" s="49" t="s">
        <v>20</v>
      </c>
      <c r="B24" s="70" t="s">
        <v>177</v>
      </c>
      <c r="C24" s="67">
        <v>12800</v>
      </c>
      <c r="D24" s="67"/>
      <c r="E24" s="67">
        <f>12800-3569</f>
        <v>9231</v>
      </c>
      <c r="F24" s="67">
        <f t="shared" si="2"/>
        <v>-9231</v>
      </c>
      <c r="G24" s="67">
        <f t="shared" si="3"/>
        <v>3569</v>
      </c>
      <c r="H24" s="51"/>
      <c r="K24" s="75"/>
    </row>
    <row r="25" s="31" customFormat="1" ht="33" customHeight="1" spans="1:8">
      <c r="A25" s="49" t="s">
        <v>36</v>
      </c>
      <c r="B25" s="70" t="s">
        <v>178</v>
      </c>
      <c r="C25" s="67">
        <v>200</v>
      </c>
      <c r="D25" s="67"/>
      <c r="E25" s="67">
        <v>200</v>
      </c>
      <c r="F25" s="67">
        <f t="shared" si="2"/>
        <v>-200</v>
      </c>
      <c r="G25" s="67">
        <f t="shared" si="3"/>
        <v>0</v>
      </c>
      <c r="H25" s="51"/>
    </row>
    <row r="26" s="31" customFormat="1" ht="33" customHeight="1" spans="1:8">
      <c r="A26" s="49" t="s">
        <v>124</v>
      </c>
      <c r="B26" s="70" t="s">
        <v>179</v>
      </c>
      <c r="C26" s="67">
        <v>6450</v>
      </c>
      <c r="D26" s="67"/>
      <c r="E26" s="67">
        <f>6450-2350</f>
        <v>4100</v>
      </c>
      <c r="F26" s="67">
        <f t="shared" si="2"/>
        <v>-4100</v>
      </c>
      <c r="G26" s="67">
        <f t="shared" si="3"/>
        <v>2350</v>
      </c>
      <c r="H26" s="51"/>
    </row>
    <row r="27" s="31" customFormat="1" ht="33" customHeight="1" spans="1:8">
      <c r="A27" s="49" t="s">
        <v>180</v>
      </c>
      <c r="B27" s="70" t="s">
        <v>181</v>
      </c>
      <c r="C27" s="67">
        <v>0</v>
      </c>
      <c r="D27" s="67">
        <v>17600</v>
      </c>
      <c r="E27" s="67">
        <v>0</v>
      </c>
      <c r="F27" s="67">
        <f t="shared" si="2"/>
        <v>17600</v>
      </c>
      <c r="G27" s="67">
        <f t="shared" si="3"/>
        <v>17600</v>
      </c>
      <c r="H27" s="51"/>
    </row>
    <row r="28" ht="33" customHeight="1" spans="1:8">
      <c r="A28" s="65" t="s">
        <v>155</v>
      </c>
      <c r="B28" s="66"/>
      <c r="C28" s="44">
        <f>SUM(C29:C32)</f>
        <v>35637</v>
      </c>
      <c r="D28" s="44">
        <f>SUM(D29:D32)</f>
        <v>1436</v>
      </c>
      <c r="E28" s="44">
        <f>SUM(E29:E32)</f>
        <v>10845</v>
      </c>
      <c r="F28" s="44">
        <f>SUM(F29:F32)</f>
        <v>-9409</v>
      </c>
      <c r="G28" s="44">
        <f>SUM(G29:G32)</f>
        <v>26228</v>
      </c>
      <c r="H28" s="55"/>
    </row>
    <row r="29" s="31" customFormat="1" ht="33" customHeight="1" spans="1:8">
      <c r="A29" s="49" t="s">
        <v>10</v>
      </c>
      <c r="B29" s="70" t="s">
        <v>182</v>
      </c>
      <c r="C29" s="67">
        <v>4515</v>
      </c>
      <c r="D29" s="67">
        <v>900</v>
      </c>
      <c r="E29" s="67"/>
      <c r="F29" s="67">
        <f>D29-E29</f>
        <v>900</v>
      </c>
      <c r="G29" s="67">
        <f>C29+F29</f>
        <v>5415</v>
      </c>
      <c r="H29" s="51"/>
    </row>
    <row r="30" s="31" customFormat="1" ht="33" customHeight="1" spans="1:8">
      <c r="A30" s="49" t="s">
        <v>14</v>
      </c>
      <c r="B30" s="70" t="s">
        <v>183</v>
      </c>
      <c r="C30" s="67"/>
      <c r="D30" s="67">
        <v>536</v>
      </c>
      <c r="E30" s="67"/>
      <c r="F30" s="67">
        <f>D30-E30</f>
        <v>536</v>
      </c>
      <c r="G30" s="67">
        <f>C30+F30</f>
        <v>536</v>
      </c>
      <c r="H30" s="74"/>
    </row>
    <row r="31" s="31" customFormat="1" ht="33" customHeight="1" spans="1:8">
      <c r="A31" s="49" t="s">
        <v>20</v>
      </c>
      <c r="B31" s="70" t="s">
        <v>184</v>
      </c>
      <c r="C31" s="67">
        <v>30000</v>
      </c>
      <c r="D31" s="67"/>
      <c r="E31" s="67">
        <v>9723</v>
      </c>
      <c r="F31" s="67">
        <f>D31-E31</f>
        <v>-9723</v>
      </c>
      <c r="G31" s="67">
        <f>C31+F31</f>
        <v>20277</v>
      </c>
      <c r="H31" s="74"/>
    </row>
    <row r="32" s="31" customFormat="1" ht="33" customHeight="1" spans="1:8">
      <c r="A32" s="49" t="s">
        <v>36</v>
      </c>
      <c r="B32" s="70" t="s">
        <v>185</v>
      </c>
      <c r="C32" s="67">
        <v>1122</v>
      </c>
      <c r="D32" s="67"/>
      <c r="E32" s="67">
        <v>1122</v>
      </c>
      <c r="F32" s="67">
        <f>D32-E32</f>
        <v>-1122</v>
      </c>
      <c r="G32" s="67">
        <f>C32+F32</f>
        <v>0</v>
      </c>
      <c r="H32" s="69"/>
    </row>
  </sheetData>
  <mergeCells count="8">
    <mergeCell ref="A2:H2"/>
    <mergeCell ref="A5:B5"/>
    <mergeCell ref="A6:B6"/>
    <mergeCell ref="A13:B13"/>
    <mergeCell ref="A16:B16"/>
    <mergeCell ref="A20:B20"/>
    <mergeCell ref="A21:B21"/>
    <mergeCell ref="A28:B28"/>
  </mergeCells>
  <pageMargins left="1.10236220472441" right="0.708661417322835" top="0.748031496062992" bottom="0.748031496062992" header="0.31496062992126" footer="0.31496062992126"/>
  <pageSetup paperSize="9" scale="6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view="pageBreakPreview" zoomScaleNormal="100" topLeftCell="A8" workbookViewId="0">
      <selection activeCell="H112" sqref="H112"/>
    </sheetView>
  </sheetViews>
  <sheetFormatPr defaultColWidth="9" defaultRowHeight="17.25"/>
  <cols>
    <col min="1" max="1" width="12.375" style="32" customWidth="1"/>
    <col min="2" max="2" width="29.125" style="33" customWidth="1"/>
    <col min="3" max="3" width="14" style="34" customWidth="1"/>
    <col min="4" max="4" width="9.25" style="34" customWidth="1"/>
    <col min="5" max="5" width="11.125" style="34" customWidth="1"/>
    <col min="6" max="6" width="12.25" style="34" customWidth="1"/>
    <col min="7" max="7" width="11.625" style="34" customWidth="1"/>
    <col min="8" max="8" width="16.25" customWidth="1"/>
  </cols>
  <sheetData>
    <row r="1" spans="1:7">
      <c r="A1" s="35" t="s">
        <v>186</v>
      </c>
      <c r="B1" s="36"/>
      <c r="C1" s="37"/>
      <c r="D1" s="37"/>
      <c r="E1" s="37"/>
      <c r="F1" s="37"/>
      <c r="G1" s="37"/>
    </row>
    <row r="2" ht="43.5" customHeight="1" spans="1:8">
      <c r="A2" s="38" t="s">
        <v>187</v>
      </c>
      <c r="B2" s="38"/>
      <c r="C2" s="38"/>
      <c r="D2" s="38"/>
      <c r="E2" s="38"/>
      <c r="F2" s="38"/>
      <c r="G2" s="38"/>
      <c r="H2" s="38"/>
    </row>
    <row r="3" ht="14.25" spans="1:8">
      <c r="A3" s="39"/>
      <c r="B3" s="40"/>
      <c r="C3" s="41"/>
      <c r="D3" s="41"/>
      <c r="E3" s="41"/>
      <c r="F3" s="41"/>
      <c r="G3" s="41"/>
      <c r="H3" s="41" t="s">
        <v>2</v>
      </c>
    </row>
    <row r="4" s="28" customFormat="1" ht="57" customHeight="1" spans="1:14">
      <c r="A4" s="42" t="s">
        <v>42</v>
      </c>
      <c r="B4" s="42" t="s">
        <v>43</v>
      </c>
      <c r="C4" s="42" t="s">
        <v>4</v>
      </c>
      <c r="D4" s="43" t="s">
        <v>44</v>
      </c>
      <c r="E4" s="43" t="s">
        <v>45</v>
      </c>
      <c r="F4" s="43" t="s">
        <v>46</v>
      </c>
      <c r="G4" s="43" t="s">
        <v>5</v>
      </c>
      <c r="H4" s="42" t="s">
        <v>130</v>
      </c>
      <c r="I4" s="61"/>
      <c r="J4" s="61"/>
      <c r="K4" s="61"/>
      <c r="L4" s="61"/>
      <c r="M4" s="61"/>
      <c r="N4" s="61"/>
    </row>
    <row r="5" s="29" customFormat="1" ht="61" customHeight="1" spans="1:8">
      <c r="A5" s="42" t="s">
        <v>158</v>
      </c>
      <c r="B5" s="42"/>
      <c r="C5" s="44">
        <f t="shared" ref="C5:G5" si="0">SUM(C6,C8)</f>
        <v>219</v>
      </c>
      <c r="D5" s="44">
        <f t="shared" si="0"/>
        <v>0</v>
      </c>
      <c r="E5" s="44">
        <f t="shared" si="0"/>
        <v>42</v>
      </c>
      <c r="F5" s="44">
        <f t="shared" si="0"/>
        <v>-42</v>
      </c>
      <c r="G5" s="44">
        <f t="shared" si="0"/>
        <v>177</v>
      </c>
      <c r="H5" s="45"/>
    </row>
    <row r="6" s="30" customFormat="1" ht="61" customHeight="1" spans="1:8">
      <c r="A6" s="42" t="s">
        <v>7</v>
      </c>
      <c r="B6" s="46" t="s">
        <v>188</v>
      </c>
      <c r="C6" s="47">
        <f t="shared" ref="C6:G6" si="1">SUM(C7)</f>
        <v>200</v>
      </c>
      <c r="D6" s="47">
        <f t="shared" si="1"/>
        <v>0</v>
      </c>
      <c r="E6" s="47">
        <f t="shared" si="1"/>
        <v>42</v>
      </c>
      <c r="F6" s="47">
        <f t="shared" si="1"/>
        <v>-42</v>
      </c>
      <c r="G6" s="47">
        <f t="shared" si="1"/>
        <v>158</v>
      </c>
      <c r="H6" s="48"/>
    </row>
    <row r="7" s="31" customFormat="1" ht="61" customHeight="1" spans="1:8">
      <c r="A7" s="49" t="s">
        <v>10</v>
      </c>
      <c r="B7" s="27" t="s">
        <v>189</v>
      </c>
      <c r="C7" s="50">
        <v>200</v>
      </c>
      <c r="D7" s="50"/>
      <c r="E7" s="50">
        <f>200-158</f>
        <v>42</v>
      </c>
      <c r="F7" s="50">
        <f t="shared" ref="F6:F12" si="2">D7-E7</f>
        <v>-42</v>
      </c>
      <c r="G7" s="50">
        <f t="shared" ref="G6:G12" si="3">C7+F7</f>
        <v>158</v>
      </c>
      <c r="H7" s="51"/>
    </row>
    <row r="8" s="30" customFormat="1" ht="61" customHeight="1" spans="1:8">
      <c r="A8" s="42" t="s">
        <v>12</v>
      </c>
      <c r="B8" s="46" t="s">
        <v>17</v>
      </c>
      <c r="C8" s="47">
        <f>SUM(C9:C10)</f>
        <v>19</v>
      </c>
      <c r="D8" s="47">
        <f>SUM(D9:D10)</f>
        <v>0</v>
      </c>
      <c r="E8" s="47">
        <f>SUM(E9:E10)</f>
        <v>0</v>
      </c>
      <c r="F8" s="47">
        <f>SUM(F9:F10)</f>
        <v>0</v>
      </c>
      <c r="G8" s="47">
        <f>SUM(G9:G10)</f>
        <v>19</v>
      </c>
      <c r="H8" s="48"/>
    </row>
    <row r="9" s="30" customFormat="1" ht="61" customHeight="1" spans="1:8">
      <c r="A9" s="49" t="s">
        <v>10</v>
      </c>
      <c r="B9" s="52" t="s">
        <v>190</v>
      </c>
      <c r="C9" s="50">
        <v>13</v>
      </c>
      <c r="D9" s="50"/>
      <c r="E9" s="50"/>
      <c r="F9" s="50">
        <f t="shared" si="2"/>
        <v>0</v>
      </c>
      <c r="G9" s="50">
        <f t="shared" si="3"/>
        <v>13</v>
      </c>
      <c r="H9" s="48"/>
    </row>
    <row r="10" s="30" customFormat="1" ht="61" customHeight="1" spans="1:8">
      <c r="A10" s="49" t="s">
        <v>14</v>
      </c>
      <c r="B10" s="52" t="s">
        <v>27</v>
      </c>
      <c r="C10" s="50">
        <v>6</v>
      </c>
      <c r="D10" s="50"/>
      <c r="E10" s="50"/>
      <c r="F10" s="50">
        <f t="shared" si="2"/>
        <v>0</v>
      </c>
      <c r="G10" s="50">
        <f t="shared" si="3"/>
        <v>6</v>
      </c>
      <c r="H10" s="48"/>
    </row>
    <row r="11" ht="61" customHeight="1" spans="1:8">
      <c r="A11" s="53" t="s">
        <v>131</v>
      </c>
      <c r="B11" s="54"/>
      <c r="C11" s="44">
        <f>C12+C14</f>
        <v>219</v>
      </c>
      <c r="D11" s="44">
        <f>D12+D14</f>
        <v>0</v>
      </c>
      <c r="E11" s="44">
        <f>E12+E14</f>
        <v>42</v>
      </c>
      <c r="F11" s="44">
        <f>F12+F14</f>
        <v>-42</v>
      </c>
      <c r="G11" s="44">
        <f>G12+G14</f>
        <v>177</v>
      </c>
      <c r="H11" s="55"/>
    </row>
    <row r="12" ht="61" customHeight="1" spans="1:8">
      <c r="A12" s="42" t="s">
        <v>7</v>
      </c>
      <c r="B12" s="46" t="s">
        <v>191</v>
      </c>
      <c r="C12" s="44">
        <f>SUM(C13:C13)</f>
        <v>19</v>
      </c>
      <c r="D12" s="44">
        <f>SUM(D13:D13)</f>
        <v>0</v>
      </c>
      <c r="E12" s="44">
        <f>SUM(E13:E13)</f>
        <v>0</v>
      </c>
      <c r="F12" s="44">
        <f>SUM(F13:F13)</f>
        <v>0</v>
      </c>
      <c r="G12" s="44">
        <f>SUM(G13:G13)</f>
        <v>19</v>
      </c>
      <c r="H12" s="55"/>
    </row>
    <row r="13" ht="61" customHeight="1" spans="1:8">
      <c r="A13" s="56" t="s">
        <v>10</v>
      </c>
      <c r="B13" s="57" t="s">
        <v>192</v>
      </c>
      <c r="C13" s="58">
        <v>19</v>
      </c>
      <c r="D13" s="58"/>
      <c r="E13" s="58"/>
      <c r="F13" s="58">
        <f>D13-E13</f>
        <v>0</v>
      </c>
      <c r="G13" s="58">
        <f>C13+F13</f>
        <v>19</v>
      </c>
      <c r="H13" s="59"/>
    </row>
    <row r="14" ht="61" customHeight="1" spans="1:8">
      <c r="A14" s="42" t="s">
        <v>12</v>
      </c>
      <c r="B14" s="46" t="s">
        <v>13</v>
      </c>
      <c r="C14" s="60">
        <f>SUM(C15:C16)</f>
        <v>200</v>
      </c>
      <c r="D14" s="60">
        <f>SUM(D15:D16)</f>
        <v>0</v>
      </c>
      <c r="E14" s="60">
        <f>SUM(E15:E16)</f>
        <v>42</v>
      </c>
      <c r="F14" s="60">
        <f>SUM(F15:F16)</f>
        <v>-42</v>
      </c>
      <c r="G14" s="60">
        <f>SUM(G15:G16)</f>
        <v>158</v>
      </c>
      <c r="H14" s="55"/>
    </row>
    <row r="15" ht="61" customHeight="1" spans="1:8">
      <c r="A15" s="56" t="s">
        <v>10</v>
      </c>
      <c r="B15" s="57" t="s">
        <v>184</v>
      </c>
      <c r="C15" s="58">
        <v>200</v>
      </c>
      <c r="D15" s="58"/>
      <c r="E15" s="58">
        <v>42</v>
      </c>
      <c r="F15" s="58">
        <f>D15-E15</f>
        <v>-42</v>
      </c>
      <c r="G15" s="58">
        <f>C15+F15</f>
        <v>158</v>
      </c>
      <c r="H15" s="59"/>
    </row>
    <row r="16" ht="61" customHeight="1" spans="1:8">
      <c r="A16" s="56" t="s">
        <v>14</v>
      </c>
      <c r="B16" s="57" t="s">
        <v>185</v>
      </c>
      <c r="C16" s="58">
        <v>0</v>
      </c>
      <c r="D16" s="58"/>
      <c r="E16" s="58"/>
      <c r="F16" s="58">
        <f>D16-E16</f>
        <v>0</v>
      </c>
      <c r="G16" s="58">
        <f>C16+F16</f>
        <v>0</v>
      </c>
      <c r="H16" s="55"/>
    </row>
  </sheetData>
  <mergeCells count="3">
    <mergeCell ref="A2:H2"/>
    <mergeCell ref="A5:B5"/>
    <mergeCell ref="A11:B11"/>
  </mergeCells>
  <printOptions horizontalCentered="1"/>
  <pageMargins left="0.708661417322835" right="0.708661417322835" top="0.748031496062992" bottom="0.748031496062992" header="0.31496062992126" footer="0.31496062992126"/>
  <pageSetup paperSize="9" scale="7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topLeftCell="A11" workbookViewId="0">
      <selection activeCell="H112" sqref="H112"/>
    </sheetView>
  </sheetViews>
  <sheetFormatPr defaultColWidth="9" defaultRowHeight="18.75" outlineLevelCol="7"/>
  <cols>
    <col min="1" max="1" width="8.625" style="3" customWidth="1"/>
    <col min="2" max="2" width="43.75" style="1" customWidth="1"/>
    <col min="3" max="3" width="14" style="1" customWidth="1"/>
    <col min="4" max="4" width="10.875" style="1" customWidth="1"/>
    <col min="5" max="5" width="11.125" style="1" customWidth="1"/>
    <col min="6" max="7" width="12.5" style="1" customWidth="1"/>
    <col min="8" max="8" width="14.625" style="4" customWidth="1"/>
    <col min="9" max="16384" width="9" style="1"/>
  </cols>
  <sheetData>
    <row r="1" s="1" customFormat="1" spans="1:8">
      <c r="A1" s="5" t="s">
        <v>193</v>
      </c>
      <c r="H1" s="4"/>
    </row>
    <row r="2" s="1" customFormat="1" ht="20.25" spans="1:8">
      <c r="A2" s="6" t="s">
        <v>194</v>
      </c>
      <c r="B2" s="7"/>
      <c r="C2" s="7"/>
      <c r="D2" s="7"/>
      <c r="E2" s="7"/>
      <c r="F2" s="7"/>
      <c r="G2" s="7"/>
      <c r="H2" s="7"/>
    </row>
    <row r="3" s="2" customFormat="1" ht="14.25" spans="1:8">
      <c r="A3" s="8"/>
      <c r="B3" s="9"/>
      <c r="H3" s="4" t="s">
        <v>2</v>
      </c>
    </row>
    <row r="4" s="2" customFormat="1" ht="28.5" spans="1:8">
      <c r="A4" s="10" t="s">
        <v>42</v>
      </c>
      <c r="B4" s="11" t="s">
        <v>43</v>
      </c>
      <c r="C4" s="12" t="s">
        <v>195</v>
      </c>
      <c r="D4" s="13" t="s">
        <v>44</v>
      </c>
      <c r="E4" s="13" t="s">
        <v>45</v>
      </c>
      <c r="F4" s="13" t="s">
        <v>46</v>
      </c>
      <c r="G4" s="13" t="s">
        <v>196</v>
      </c>
      <c r="H4" s="14" t="s">
        <v>130</v>
      </c>
    </row>
    <row r="5" s="2" customFormat="1" ht="15.75" spans="1:8">
      <c r="A5" s="15" t="s">
        <v>197</v>
      </c>
      <c r="B5" s="16"/>
      <c r="C5" s="17">
        <f t="shared" ref="C5:G5" si="0">SUM(C6,C40,C67)</f>
        <v>244054</v>
      </c>
      <c r="D5" s="17">
        <f t="shared" si="0"/>
        <v>27653</v>
      </c>
      <c r="E5" s="17">
        <f t="shared" si="0"/>
        <v>40491</v>
      </c>
      <c r="F5" s="17">
        <f t="shared" si="0"/>
        <v>-12833</v>
      </c>
      <c r="G5" s="17">
        <f t="shared" si="0"/>
        <v>231221</v>
      </c>
      <c r="H5" s="18"/>
    </row>
    <row r="6" s="2" customFormat="1" ht="15.75" spans="1:8">
      <c r="A6" s="15" t="s">
        <v>7</v>
      </c>
      <c r="B6" s="19" t="s">
        <v>198</v>
      </c>
      <c r="C6" s="17">
        <f t="shared" ref="C6:G6" si="1">SUM(C7,C33,C37)</f>
        <v>179719</v>
      </c>
      <c r="D6" s="17">
        <f t="shared" si="1"/>
        <v>6634</v>
      </c>
      <c r="E6" s="17">
        <f t="shared" si="1"/>
        <v>19113</v>
      </c>
      <c r="F6" s="17">
        <f t="shared" si="1"/>
        <v>-12479</v>
      </c>
      <c r="G6" s="17">
        <f t="shared" si="1"/>
        <v>167240</v>
      </c>
      <c r="H6" s="18"/>
    </row>
    <row r="7" s="2" customFormat="1" ht="15.75" spans="1:8">
      <c r="A7" s="20" t="s">
        <v>10</v>
      </c>
      <c r="B7" s="21" t="s">
        <v>199</v>
      </c>
      <c r="C7" s="17">
        <f t="shared" ref="C7:G7" si="2">C8+C24</f>
        <v>167536</v>
      </c>
      <c r="D7" s="17">
        <f t="shared" si="2"/>
        <v>5103</v>
      </c>
      <c r="E7" s="17">
        <f t="shared" si="2"/>
        <v>18443</v>
      </c>
      <c r="F7" s="17">
        <f t="shared" si="2"/>
        <v>-13340</v>
      </c>
      <c r="G7" s="17">
        <f t="shared" si="2"/>
        <v>154196</v>
      </c>
      <c r="H7" s="18"/>
    </row>
    <row r="8" s="2" customFormat="1" ht="14.25" spans="1:8">
      <c r="A8" s="20">
        <v>1</v>
      </c>
      <c r="B8" s="21" t="s">
        <v>200</v>
      </c>
      <c r="C8" s="22">
        <f t="shared" ref="C8:G8" si="3">SUM(C9,C12,C13,C14,C15,C18)</f>
        <v>113611</v>
      </c>
      <c r="D8" s="22">
        <f t="shared" si="3"/>
        <v>4862</v>
      </c>
      <c r="E8" s="22">
        <f t="shared" si="3"/>
        <v>11453</v>
      </c>
      <c r="F8" s="22">
        <f t="shared" si="3"/>
        <v>-6591</v>
      </c>
      <c r="G8" s="22">
        <f t="shared" si="3"/>
        <v>107020</v>
      </c>
      <c r="H8" s="23"/>
    </row>
    <row r="9" s="2" customFormat="1" ht="14.25" spans="1:8">
      <c r="A9" s="20"/>
      <c r="B9" s="24" t="s">
        <v>201</v>
      </c>
      <c r="C9" s="22">
        <f t="shared" ref="C9:G9" si="4">C10+C11</f>
        <v>41886</v>
      </c>
      <c r="D9" s="22">
        <f t="shared" si="4"/>
        <v>343</v>
      </c>
      <c r="E9" s="22">
        <f t="shared" si="4"/>
        <v>0</v>
      </c>
      <c r="F9" s="22">
        <f t="shared" si="4"/>
        <v>343</v>
      </c>
      <c r="G9" s="22">
        <f t="shared" si="4"/>
        <v>42229</v>
      </c>
      <c r="H9" s="23"/>
    </row>
    <row r="10" s="2" customFormat="1" ht="14.25" spans="1:8">
      <c r="A10" s="20"/>
      <c r="B10" s="21" t="s">
        <v>202</v>
      </c>
      <c r="C10" s="22">
        <v>8960</v>
      </c>
      <c r="D10" s="22">
        <v>25</v>
      </c>
      <c r="E10" s="22"/>
      <c r="F10" s="22">
        <f t="shared" ref="F10:F14" si="5">D10-E10</f>
        <v>25</v>
      </c>
      <c r="G10" s="22">
        <f t="shared" ref="G10:G14" si="6">C10+F10</f>
        <v>8985</v>
      </c>
      <c r="H10" s="18"/>
    </row>
    <row r="11" s="2" customFormat="1" ht="14.25" spans="1:8">
      <c r="A11" s="20"/>
      <c r="B11" s="21" t="s">
        <v>203</v>
      </c>
      <c r="C11" s="22">
        <v>32926</v>
      </c>
      <c r="D11" s="22">
        <f>33244-32926</f>
        <v>318</v>
      </c>
      <c r="E11" s="22"/>
      <c r="F11" s="22">
        <f t="shared" si="5"/>
        <v>318</v>
      </c>
      <c r="G11" s="22">
        <f t="shared" si="6"/>
        <v>33244</v>
      </c>
      <c r="H11" s="18"/>
    </row>
    <row r="12" s="2" customFormat="1" ht="14.25" spans="1:8">
      <c r="A12" s="20"/>
      <c r="B12" s="21" t="s">
        <v>204</v>
      </c>
      <c r="C12" s="22">
        <v>34507</v>
      </c>
      <c r="D12" s="22"/>
      <c r="E12" s="22">
        <f>34507-33736</f>
        <v>771</v>
      </c>
      <c r="F12" s="22">
        <f t="shared" si="5"/>
        <v>-771</v>
      </c>
      <c r="G12" s="22">
        <f t="shared" si="6"/>
        <v>33736</v>
      </c>
      <c r="H12" s="18"/>
    </row>
    <row r="13" s="2" customFormat="1" ht="14.25" spans="1:8">
      <c r="A13" s="20"/>
      <c r="B13" s="21" t="s">
        <v>205</v>
      </c>
      <c r="C13" s="22">
        <v>2954</v>
      </c>
      <c r="D13" s="22">
        <f>3230-2954</f>
        <v>276</v>
      </c>
      <c r="E13" s="22">
        <v>0</v>
      </c>
      <c r="F13" s="22">
        <f t="shared" si="5"/>
        <v>276</v>
      </c>
      <c r="G13" s="22">
        <f t="shared" si="6"/>
        <v>3230</v>
      </c>
      <c r="H13" s="18"/>
    </row>
    <row r="14" s="2" customFormat="1" ht="14.25" spans="1:8">
      <c r="A14" s="20"/>
      <c r="B14" s="21" t="s">
        <v>206</v>
      </c>
      <c r="C14" s="22">
        <v>1860</v>
      </c>
      <c r="D14" s="22"/>
      <c r="E14" s="22">
        <v>2</v>
      </c>
      <c r="F14" s="22">
        <f t="shared" si="5"/>
        <v>-2</v>
      </c>
      <c r="G14" s="22">
        <f t="shared" si="6"/>
        <v>1858</v>
      </c>
      <c r="H14" s="18"/>
    </row>
    <row r="15" s="2" customFormat="1" ht="14.25" spans="1:8">
      <c r="A15" s="20"/>
      <c r="B15" s="21" t="s">
        <v>207</v>
      </c>
      <c r="C15" s="22">
        <f t="shared" ref="C15:G15" si="7">SUM(C16:C17)</f>
        <v>20248</v>
      </c>
      <c r="D15" s="22">
        <f t="shared" si="7"/>
        <v>3297</v>
      </c>
      <c r="E15" s="22">
        <f t="shared" si="7"/>
        <v>4328</v>
      </c>
      <c r="F15" s="22">
        <f t="shared" si="7"/>
        <v>-1031</v>
      </c>
      <c r="G15" s="22">
        <f t="shared" si="7"/>
        <v>19217</v>
      </c>
      <c r="H15" s="23"/>
    </row>
    <row r="16" s="2" customFormat="1" ht="14.25" spans="1:8">
      <c r="A16" s="20"/>
      <c r="B16" s="21" t="s">
        <v>208</v>
      </c>
      <c r="C16" s="22">
        <v>12481</v>
      </c>
      <c r="D16" s="22"/>
      <c r="E16" s="22">
        <f>12481-8153</f>
        <v>4328</v>
      </c>
      <c r="F16" s="22">
        <f t="shared" ref="F16:F23" si="8">D16-E16</f>
        <v>-4328</v>
      </c>
      <c r="G16" s="22">
        <f t="shared" ref="G16:G23" si="9">C16+F16</f>
        <v>8153</v>
      </c>
      <c r="H16" s="18"/>
    </row>
    <row r="17" s="2" customFormat="1" ht="14.25" spans="1:8">
      <c r="A17" s="20"/>
      <c r="B17" s="21" t="s">
        <v>209</v>
      </c>
      <c r="C17" s="22">
        <v>7767</v>
      </c>
      <c r="D17" s="22">
        <f>11064-7767</f>
        <v>3297</v>
      </c>
      <c r="E17" s="22"/>
      <c r="F17" s="22">
        <f t="shared" si="8"/>
        <v>3297</v>
      </c>
      <c r="G17" s="22">
        <f t="shared" si="9"/>
        <v>11064</v>
      </c>
      <c r="H17" s="18"/>
    </row>
    <row r="18" s="2" customFormat="1" ht="14.25" spans="1:8">
      <c r="A18" s="20"/>
      <c r="B18" s="21" t="s">
        <v>210</v>
      </c>
      <c r="C18" s="22">
        <f t="shared" ref="C18:G18" si="10">SUM(C19:C23)</f>
        <v>12156</v>
      </c>
      <c r="D18" s="22">
        <f t="shared" si="10"/>
        <v>946</v>
      </c>
      <c r="E18" s="22">
        <f t="shared" si="10"/>
        <v>6352</v>
      </c>
      <c r="F18" s="22">
        <f t="shared" si="10"/>
        <v>-5406</v>
      </c>
      <c r="G18" s="22">
        <f t="shared" si="10"/>
        <v>6750</v>
      </c>
      <c r="H18" s="18"/>
    </row>
    <row r="19" s="2" customFormat="1" ht="14.25" spans="1:8">
      <c r="A19" s="20"/>
      <c r="B19" s="21" t="s">
        <v>211</v>
      </c>
      <c r="C19" s="22">
        <v>747</v>
      </c>
      <c r="D19" s="22"/>
      <c r="E19" s="22">
        <f>747-668</f>
        <v>79</v>
      </c>
      <c r="F19" s="22">
        <f t="shared" si="8"/>
        <v>-79</v>
      </c>
      <c r="G19" s="22">
        <f t="shared" si="9"/>
        <v>668</v>
      </c>
      <c r="H19" s="18"/>
    </row>
    <row r="20" s="2" customFormat="1" ht="14.25" spans="1:8">
      <c r="A20" s="20"/>
      <c r="B20" s="21" t="s">
        <v>212</v>
      </c>
      <c r="C20" s="22">
        <v>2731</v>
      </c>
      <c r="D20" s="22"/>
      <c r="E20" s="22">
        <v>10</v>
      </c>
      <c r="F20" s="22">
        <f t="shared" si="8"/>
        <v>-10</v>
      </c>
      <c r="G20" s="22">
        <f t="shared" si="9"/>
        <v>2721</v>
      </c>
      <c r="H20" s="18"/>
    </row>
    <row r="21" s="2" customFormat="1" ht="14.25" spans="1:8">
      <c r="A21" s="20"/>
      <c r="B21" s="21" t="s">
        <v>213</v>
      </c>
      <c r="C21" s="22">
        <f>3195+31</f>
        <v>3226</v>
      </c>
      <c r="D21" s="22"/>
      <c r="E21" s="22">
        <v>811</v>
      </c>
      <c r="F21" s="22">
        <f t="shared" si="8"/>
        <v>-811</v>
      </c>
      <c r="G21" s="22">
        <f t="shared" si="9"/>
        <v>2415</v>
      </c>
      <c r="H21" s="18"/>
    </row>
    <row r="22" s="2" customFormat="1" ht="14.25" spans="1:8">
      <c r="A22" s="20"/>
      <c r="B22" s="21" t="s">
        <v>214</v>
      </c>
      <c r="C22" s="22"/>
      <c r="D22" s="22">
        <v>946</v>
      </c>
      <c r="E22" s="22"/>
      <c r="F22" s="22">
        <f t="shared" si="8"/>
        <v>946</v>
      </c>
      <c r="G22" s="22">
        <f t="shared" si="9"/>
        <v>946</v>
      </c>
      <c r="H22" s="18"/>
    </row>
    <row r="23" s="2" customFormat="1" ht="14.25" spans="1:8">
      <c r="A23" s="20"/>
      <c r="B23" s="21" t="s">
        <v>215</v>
      </c>
      <c r="C23" s="22">
        <v>5452</v>
      </c>
      <c r="D23" s="22"/>
      <c r="E23" s="22">
        <v>5452</v>
      </c>
      <c r="F23" s="22">
        <f t="shared" si="8"/>
        <v>-5452</v>
      </c>
      <c r="G23" s="22">
        <f t="shared" si="9"/>
        <v>0</v>
      </c>
      <c r="H23" s="18"/>
    </row>
    <row r="24" s="2" customFormat="1" ht="14.25" spans="1:8">
      <c r="A24" s="20">
        <v>2</v>
      </c>
      <c r="B24" s="21" t="s">
        <v>216</v>
      </c>
      <c r="C24" s="22">
        <f t="shared" ref="C24:G24" si="11">SUM(C25:C32)</f>
        <v>53925</v>
      </c>
      <c r="D24" s="22">
        <f t="shared" si="11"/>
        <v>241</v>
      </c>
      <c r="E24" s="22">
        <f t="shared" si="11"/>
        <v>6990</v>
      </c>
      <c r="F24" s="22">
        <f t="shared" si="11"/>
        <v>-6749</v>
      </c>
      <c r="G24" s="22">
        <f t="shared" si="11"/>
        <v>47176</v>
      </c>
      <c r="H24" s="18"/>
    </row>
    <row r="25" s="2" customFormat="1" ht="14.25" spans="1:8">
      <c r="A25" s="20"/>
      <c r="B25" s="21" t="s">
        <v>217</v>
      </c>
      <c r="C25" s="22">
        <f>19615+6</f>
        <v>19621</v>
      </c>
      <c r="D25" s="22"/>
      <c r="E25" s="22">
        <f>19621-15716</f>
        <v>3905</v>
      </c>
      <c r="F25" s="22">
        <f t="shared" ref="F25:F32" si="12">D25-E25</f>
        <v>-3905</v>
      </c>
      <c r="G25" s="22">
        <f t="shared" ref="G25:G32" si="13">C25+F25</f>
        <v>15716</v>
      </c>
      <c r="H25" s="18"/>
    </row>
    <row r="26" s="2" customFormat="1" ht="14.25" spans="1:8">
      <c r="A26" s="20"/>
      <c r="B26" s="21" t="s">
        <v>218</v>
      </c>
      <c r="C26" s="22">
        <v>2397</v>
      </c>
      <c r="D26" s="22">
        <v>0</v>
      </c>
      <c r="E26" s="22">
        <f>2397-1958</f>
        <v>439</v>
      </c>
      <c r="F26" s="22">
        <f t="shared" si="12"/>
        <v>-439</v>
      </c>
      <c r="G26" s="22">
        <f t="shared" si="13"/>
        <v>1958</v>
      </c>
      <c r="H26" s="18"/>
    </row>
    <row r="27" s="2" customFormat="1" ht="14.25" spans="1:8">
      <c r="A27" s="20"/>
      <c r="B27" s="21" t="s">
        <v>219</v>
      </c>
      <c r="C27" s="22">
        <f>16580+3</f>
        <v>16583</v>
      </c>
      <c r="D27" s="22"/>
      <c r="E27" s="22">
        <f>16583-14626</f>
        <v>1957</v>
      </c>
      <c r="F27" s="22">
        <f t="shared" si="12"/>
        <v>-1957</v>
      </c>
      <c r="G27" s="22">
        <f t="shared" si="13"/>
        <v>14626</v>
      </c>
      <c r="H27" s="18"/>
    </row>
    <row r="28" s="2" customFormat="1" ht="14.25" spans="1:8">
      <c r="A28" s="20"/>
      <c r="B28" s="21" t="s">
        <v>220</v>
      </c>
      <c r="C28" s="22">
        <v>208</v>
      </c>
      <c r="D28" s="22"/>
      <c r="E28" s="22">
        <v>20</v>
      </c>
      <c r="F28" s="22">
        <f t="shared" si="12"/>
        <v>-20</v>
      </c>
      <c r="G28" s="22">
        <f t="shared" si="13"/>
        <v>188</v>
      </c>
      <c r="H28" s="18"/>
    </row>
    <row r="29" s="2" customFormat="1" ht="14.25" spans="1:8">
      <c r="A29" s="20"/>
      <c r="B29" s="21" t="s">
        <v>221</v>
      </c>
      <c r="C29" s="22">
        <v>97</v>
      </c>
      <c r="D29" s="22"/>
      <c r="E29" s="22">
        <v>97</v>
      </c>
      <c r="F29" s="22">
        <f t="shared" si="12"/>
        <v>-97</v>
      </c>
      <c r="G29" s="22">
        <f t="shared" si="13"/>
        <v>0</v>
      </c>
      <c r="H29" s="18"/>
    </row>
    <row r="30" s="2" customFormat="1" ht="14.25" spans="1:8">
      <c r="A30" s="20"/>
      <c r="B30" s="21" t="s">
        <v>222</v>
      </c>
      <c r="C30" s="22">
        <v>517</v>
      </c>
      <c r="D30" s="22"/>
      <c r="E30" s="22">
        <v>517</v>
      </c>
      <c r="F30" s="22">
        <f t="shared" si="12"/>
        <v>-517</v>
      </c>
      <c r="G30" s="22">
        <f t="shared" si="13"/>
        <v>0</v>
      </c>
      <c r="H30" s="18"/>
    </row>
    <row r="31" s="2" customFormat="1" ht="14.25" spans="1:8">
      <c r="A31" s="20"/>
      <c r="B31" s="21" t="s">
        <v>223</v>
      </c>
      <c r="C31" s="22">
        <f>13149+4</f>
        <v>13153</v>
      </c>
      <c r="D31" s="22">
        <f>13394-13153</f>
        <v>241</v>
      </c>
      <c r="E31" s="22"/>
      <c r="F31" s="22">
        <f t="shared" si="12"/>
        <v>241</v>
      </c>
      <c r="G31" s="22">
        <f t="shared" si="13"/>
        <v>13394</v>
      </c>
      <c r="H31" s="18"/>
    </row>
    <row r="32" s="2" customFormat="1" ht="14.25" spans="1:8">
      <c r="A32" s="20"/>
      <c r="B32" s="21" t="s">
        <v>224</v>
      </c>
      <c r="C32" s="22">
        <v>1349</v>
      </c>
      <c r="D32" s="22"/>
      <c r="E32" s="22">
        <f>1349-1294</f>
        <v>55</v>
      </c>
      <c r="F32" s="22">
        <f t="shared" si="12"/>
        <v>-55</v>
      </c>
      <c r="G32" s="22">
        <f t="shared" si="13"/>
        <v>1294</v>
      </c>
      <c r="H32" s="18"/>
    </row>
    <row r="33" s="2" customFormat="1" ht="14.25" spans="1:8">
      <c r="A33" s="20" t="s">
        <v>14</v>
      </c>
      <c r="B33" s="21" t="s">
        <v>225</v>
      </c>
      <c r="C33" s="22">
        <f t="shared" ref="C33:G33" si="14">SUM(C34:C36)</f>
        <v>9184</v>
      </c>
      <c r="D33" s="22">
        <f t="shared" si="14"/>
        <v>1</v>
      </c>
      <c r="E33" s="22">
        <f t="shared" si="14"/>
        <v>670</v>
      </c>
      <c r="F33" s="22">
        <f t="shared" si="14"/>
        <v>-669</v>
      </c>
      <c r="G33" s="22">
        <f t="shared" si="14"/>
        <v>8515</v>
      </c>
      <c r="H33" s="18"/>
    </row>
    <row r="34" s="2" customFormat="1" ht="14.25" spans="1:8">
      <c r="A34" s="20">
        <v>1</v>
      </c>
      <c r="B34" s="21" t="s">
        <v>226</v>
      </c>
      <c r="C34" s="22">
        <v>84</v>
      </c>
      <c r="D34" s="22">
        <v>1</v>
      </c>
      <c r="E34" s="22"/>
      <c r="F34" s="22">
        <f t="shared" ref="F34:F36" si="15">D34-E34</f>
        <v>1</v>
      </c>
      <c r="G34" s="22">
        <f t="shared" ref="G34:G36" si="16">C34+F34</f>
        <v>85</v>
      </c>
      <c r="H34" s="18"/>
    </row>
    <row r="35" s="2" customFormat="1" ht="14.25" spans="1:8">
      <c r="A35" s="20">
        <v>2</v>
      </c>
      <c r="B35" s="21" t="s">
        <v>227</v>
      </c>
      <c r="C35" s="22">
        <v>171</v>
      </c>
      <c r="D35" s="22"/>
      <c r="E35" s="22">
        <f>171-112</f>
        <v>59</v>
      </c>
      <c r="F35" s="22">
        <f t="shared" si="15"/>
        <v>-59</v>
      </c>
      <c r="G35" s="22">
        <f t="shared" si="16"/>
        <v>112</v>
      </c>
      <c r="H35" s="18"/>
    </row>
    <row r="36" s="2" customFormat="1" ht="14.25" spans="1:8">
      <c r="A36" s="20">
        <v>3</v>
      </c>
      <c r="B36" s="21" t="s">
        <v>228</v>
      </c>
      <c r="C36" s="22">
        <v>8929</v>
      </c>
      <c r="D36" s="22"/>
      <c r="E36" s="22">
        <f>8929-8318</f>
        <v>611</v>
      </c>
      <c r="F36" s="22">
        <f t="shared" si="15"/>
        <v>-611</v>
      </c>
      <c r="G36" s="22">
        <f t="shared" si="16"/>
        <v>8318</v>
      </c>
      <c r="H36" s="18"/>
    </row>
    <row r="37" s="2" customFormat="1" ht="14.25" spans="1:8">
      <c r="A37" s="20" t="s">
        <v>20</v>
      </c>
      <c r="B37" s="21" t="s">
        <v>229</v>
      </c>
      <c r="C37" s="22">
        <f t="shared" ref="C37:G37" si="17">C38+C39</f>
        <v>2999</v>
      </c>
      <c r="D37" s="22">
        <f t="shared" si="17"/>
        <v>1530</v>
      </c>
      <c r="E37" s="22">
        <f t="shared" si="17"/>
        <v>0</v>
      </c>
      <c r="F37" s="22">
        <f t="shared" si="17"/>
        <v>1530</v>
      </c>
      <c r="G37" s="22">
        <f t="shared" si="17"/>
        <v>4529</v>
      </c>
      <c r="H37" s="18"/>
    </row>
    <row r="38" s="2" customFormat="1" ht="14.25" spans="1:8">
      <c r="A38" s="20">
        <v>1</v>
      </c>
      <c r="B38" s="21" t="s">
        <v>230</v>
      </c>
      <c r="C38" s="22">
        <v>2191</v>
      </c>
      <c r="D38" s="22">
        <f>3346-2191</f>
        <v>1155</v>
      </c>
      <c r="E38" s="22"/>
      <c r="F38" s="22">
        <f>D38-E38</f>
        <v>1155</v>
      </c>
      <c r="G38" s="22">
        <f>C38+F38</f>
        <v>3346</v>
      </c>
      <c r="H38" s="18"/>
    </row>
    <row r="39" s="2" customFormat="1" ht="14.25" spans="1:8">
      <c r="A39" s="20">
        <v>2</v>
      </c>
      <c r="B39" s="21" t="s">
        <v>231</v>
      </c>
      <c r="C39" s="22">
        <v>808</v>
      </c>
      <c r="D39" s="22">
        <f>1183-808</f>
        <v>375</v>
      </c>
      <c r="E39" s="22">
        <v>0</v>
      </c>
      <c r="F39" s="22">
        <f>D39-E39</f>
        <v>375</v>
      </c>
      <c r="G39" s="22">
        <f>C39+F39</f>
        <v>1183</v>
      </c>
      <c r="H39" s="18"/>
    </row>
    <row r="40" s="2" customFormat="1" ht="14.25" spans="1:8">
      <c r="A40" s="15" t="s">
        <v>12</v>
      </c>
      <c r="B40" s="19" t="s">
        <v>232</v>
      </c>
      <c r="C40" s="25">
        <f t="shared" ref="C40:G40" si="18">SUM(C41,C48,,C51,C55,C56,C66)</f>
        <v>12754</v>
      </c>
      <c r="D40" s="25">
        <f t="shared" si="18"/>
        <v>2617</v>
      </c>
      <c r="E40" s="25">
        <f t="shared" si="18"/>
        <v>11097</v>
      </c>
      <c r="F40" s="25">
        <f>SUM(F41,F48,,F51,F55,F56,F66)+5</f>
        <v>-8475</v>
      </c>
      <c r="G40" s="25">
        <f t="shared" si="18"/>
        <v>4279</v>
      </c>
      <c r="H40" s="18"/>
    </row>
    <row r="41" s="2" customFormat="1" ht="14.25" spans="1:8">
      <c r="A41" s="20" t="s">
        <v>10</v>
      </c>
      <c r="B41" s="21" t="s">
        <v>233</v>
      </c>
      <c r="C41" s="22">
        <f>C42+C43+C46+47+48</f>
        <v>2779</v>
      </c>
      <c r="D41" s="22">
        <f>SUM(D42,D43,D46,D47)</f>
        <v>2048</v>
      </c>
      <c r="E41" s="22">
        <f>SUM(E42,E43,E46,E47)</f>
        <v>1358</v>
      </c>
      <c r="F41" s="22">
        <f>SUM(F42,F43,F46,F47)</f>
        <v>690</v>
      </c>
      <c r="G41" s="22">
        <f>SUM(G42,G43,G46,G47)</f>
        <v>3474</v>
      </c>
      <c r="H41" s="18"/>
    </row>
    <row r="42" s="2" customFormat="1" ht="14.25" spans="1:8">
      <c r="A42" s="20">
        <v>1</v>
      </c>
      <c r="B42" s="21" t="s">
        <v>234</v>
      </c>
      <c r="C42" s="22">
        <v>691</v>
      </c>
      <c r="D42" s="22">
        <f>1977-691</f>
        <v>1286</v>
      </c>
      <c r="E42" s="22"/>
      <c r="F42" s="22">
        <f t="shared" ref="F42:F47" si="19">D42-E42</f>
        <v>1286</v>
      </c>
      <c r="G42" s="22">
        <f t="shared" ref="G42:G47" si="20">C42+F42</f>
        <v>1977</v>
      </c>
      <c r="H42" s="18"/>
    </row>
    <row r="43" s="2" customFormat="1" ht="14.25" spans="1:8">
      <c r="A43" s="20">
        <v>2</v>
      </c>
      <c r="B43" s="21" t="s">
        <v>235</v>
      </c>
      <c r="C43" s="22">
        <v>230</v>
      </c>
      <c r="D43" s="22">
        <f>992-230</f>
        <v>762</v>
      </c>
      <c r="E43" s="22">
        <v>0</v>
      </c>
      <c r="F43" s="22">
        <f t="shared" si="19"/>
        <v>762</v>
      </c>
      <c r="G43" s="22">
        <f t="shared" si="20"/>
        <v>992</v>
      </c>
      <c r="H43" s="18"/>
    </row>
    <row r="44" s="2" customFormat="1" ht="14.25" spans="1:8">
      <c r="A44" s="20"/>
      <c r="B44" s="21" t="s">
        <v>236</v>
      </c>
      <c r="C44" s="22">
        <v>163</v>
      </c>
      <c r="D44" s="22">
        <f>846-163</f>
        <v>683</v>
      </c>
      <c r="E44" s="22"/>
      <c r="F44" s="22">
        <f t="shared" si="19"/>
        <v>683</v>
      </c>
      <c r="G44" s="22">
        <f t="shared" si="20"/>
        <v>846</v>
      </c>
      <c r="H44" s="18"/>
    </row>
    <row r="45" s="2" customFormat="1" ht="14.25" spans="1:8">
      <c r="A45" s="20"/>
      <c r="B45" s="21" t="s">
        <v>237</v>
      </c>
      <c r="C45" s="22">
        <v>26</v>
      </c>
      <c r="D45" s="22">
        <v>0</v>
      </c>
      <c r="E45" s="22"/>
      <c r="F45" s="22">
        <f t="shared" si="19"/>
        <v>0</v>
      </c>
      <c r="G45" s="22">
        <f t="shared" si="20"/>
        <v>26</v>
      </c>
      <c r="H45" s="18"/>
    </row>
    <row r="46" s="2" customFormat="1" ht="14.25" spans="1:8">
      <c r="A46" s="20">
        <v>3</v>
      </c>
      <c r="B46" s="21" t="s">
        <v>238</v>
      </c>
      <c r="C46" s="22">
        <v>1763</v>
      </c>
      <c r="D46" s="22"/>
      <c r="E46" s="22">
        <f>1763-505</f>
        <v>1258</v>
      </c>
      <c r="F46" s="22">
        <f t="shared" si="19"/>
        <v>-1258</v>
      </c>
      <c r="G46" s="22">
        <f t="shared" si="20"/>
        <v>505</v>
      </c>
      <c r="H46" s="18"/>
    </row>
    <row r="47" s="2" customFormat="1" ht="14.25" spans="1:8">
      <c r="A47" s="20">
        <v>4</v>
      </c>
      <c r="B47" s="21" t="s">
        <v>239</v>
      </c>
      <c r="C47" s="22">
        <v>100</v>
      </c>
      <c r="D47" s="22"/>
      <c r="E47" s="22">
        <v>100</v>
      </c>
      <c r="F47" s="22">
        <f t="shared" si="19"/>
        <v>-100</v>
      </c>
      <c r="G47" s="22">
        <f t="shared" si="20"/>
        <v>0</v>
      </c>
      <c r="H47" s="18"/>
    </row>
    <row r="48" s="2" customFormat="1" ht="14.25" spans="1:8">
      <c r="A48" s="20" t="s">
        <v>14</v>
      </c>
      <c r="B48" s="21" t="s">
        <v>240</v>
      </c>
      <c r="C48" s="22">
        <f>C49+C50</f>
        <v>32</v>
      </c>
      <c r="D48" s="22">
        <f>D49+D50</f>
        <v>77</v>
      </c>
      <c r="E48" s="22">
        <f>E49+E50</f>
        <v>0</v>
      </c>
      <c r="F48" s="22">
        <f t="shared" ref="F48:F66" si="21">D48-E48</f>
        <v>77</v>
      </c>
      <c r="G48" s="22">
        <f t="shared" ref="G48:G66" si="22">C48+F48</f>
        <v>109</v>
      </c>
      <c r="H48" s="18"/>
    </row>
    <row r="49" s="2" customFormat="1" ht="14.25" spans="1:8">
      <c r="A49" s="20">
        <v>1</v>
      </c>
      <c r="B49" s="21" t="s">
        <v>241</v>
      </c>
      <c r="C49" s="22">
        <v>3</v>
      </c>
      <c r="D49" s="22">
        <v>0</v>
      </c>
      <c r="E49" s="22"/>
      <c r="F49" s="22">
        <f t="shared" si="21"/>
        <v>0</v>
      </c>
      <c r="G49" s="22">
        <f t="shared" si="22"/>
        <v>3</v>
      </c>
      <c r="H49" s="18"/>
    </row>
    <row r="50" s="2" customFormat="1" ht="14.25" spans="1:8">
      <c r="A50" s="20">
        <v>2</v>
      </c>
      <c r="B50" s="21" t="s">
        <v>242</v>
      </c>
      <c r="C50" s="22">
        <v>29</v>
      </c>
      <c r="D50" s="22">
        <f>106-29</f>
        <v>77</v>
      </c>
      <c r="E50" s="22"/>
      <c r="F50" s="22">
        <f t="shared" si="21"/>
        <v>77</v>
      </c>
      <c r="G50" s="22">
        <f t="shared" si="22"/>
        <v>106</v>
      </c>
      <c r="H50" s="18"/>
    </row>
    <row r="51" s="2" customFormat="1" ht="14.25" customHeight="1" spans="1:8">
      <c r="A51" s="20" t="s">
        <v>20</v>
      </c>
      <c r="B51" s="21" t="s">
        <v>243</v>
      </c>
      <c r="C51" s="22">
        <f>SUM(C52:C54)</f>
        <v>390</v>
      </c>
      <c r="D51" s="22">
        <f>SUM(D52:D54)</f>
        <v>0</v>
      </c>
      <c r="E51" s="22">
        <f>SUM(E52:E54)</f>
        <v>186</v>
      </c>
      <c r="F51" s="22">
        <f t="shared" si="21"/>
        <v>-186</v>
      </c>
      <c r="G51" s="22">
        <f t="shared" si="22"/>
        <v>204</v>
      </c>
      <c r="H51" s="18"/>
    </row>
    <row r="52" s="2" customFormat="1" ht="14.25" spans="1:8">
      <c r="A52" s="20">
        <v>1</v>
      </c>
      <c r="B52" s="21" t="s">
        <v>244</v>
      </c>
      <c r="C52" s="22">
        <v>107</v>
      </c>
      <c r="D52" s="22"/>
      <c r="E52" s="22">
        <v>6</v>
      </c>
      <c r="F52" s="22">
        <f t="shared" si="21"/>
        <v>-6</v>
      </c>
      <c r="G52" s="22">
        <f t="shared" si="22"/>
        <v>101</v>
      </c>
      <c r="H52" s="18"/>
    </row>
    <row r="53" s="2" customFormat="1" ht="14.25" spans="1:8">
      <c r="A53" s="20">
        <v>2</v>
      </c>
      <c r="B53" s="21" t="s">
        <v>245</v>
      </c>
      <c r="C53" s="22">
        <v>160</v>
      </c>
      <c r="D53" s="22">
        <v>0</v>
      </c>
      <c r="E53" s="22">
        <v>160</v>
      </c>
      <c r="F53" s="22">
        <f t="shared" si="21"/>
        <v>-160</v>
      </c>
      <c r="G53" s="22">
        <f t="shared" si="22"/>
        <v>0</v>
      </c>
      <c r="H53" s="18"/>
    </row>
    <row r="54" s="2" customFormat="1" ht="14.25" spans="1:8">
      <c r="A54" s="20">
        <v>3</v>
      </c>
      <c r="B54" s="21" t="s">
        <v>246</v>
      </c>
      <c r="C54" s="22">
        <v>123</v>
      </c>
      <c r="D54" s="22"/>
      <c r="E54" s="22">
        <v>20</v>
      </c>
      <c r="F54" s="22">
        <f t="shared" si="21"/>
        <v>-20</v>
      </c>
      <c r="G54" s="22">
        <f t="shared" si="22"/>
        <v>103</v>
      </c>
      <c r="H54" s="18"/>
    </row>
    <row r="55" s="2" customFormat="1" ht="14.25" spans="1:8">
      <c r="A55" s="20" t="s">
        <v>36</v>
      </c>
      <c r="B55" s="21" t="s">
        <v>247</v>
      </c>
      <c r="C55" s="22">
        <v>39</v>
      </c>
      <c r="D55" s="22"/>
      <c r="E55" s="22">
        <v>39</v>
      </c>
      <c r="F55" s="22">
        <f t="shared" si="21"/>
        <v>-39</v>
      </c>
      <c r="G55" s="22">
        <f t="shared" si="22"/>
        <v>0</v>
      </c>
      <c r="H55" s="18"/>
    </row>
    <row r="56" s="2" customFormat="1" ht="14.25" spans="1:8">
      <c r="A56" s="20" t="s">
        <v>124</v>
      </c>
      <c r="B56" s="21" t="s">
        <v>248</v>
      </c>
      <c r="C56" s="22">
        <f>C57+C61+C65</f>
        <v>9514</v>
      </c>
      <c r="D56" s="22">
        <f>D57+D61+D65</f>
        <v>0</v>
      </c>
      <c r="E56" s="22">
        <f>E57+E61+E65</f>
        <v>9514</v>
      </c>
      <c r="F56" s="22">
        <f t="shared" si="21"/>
        <v>-9514</v>
      </c>
      <c r="G56" s="22">
        <f t="shared" si="22"/>
        <v>0</v>
      </c>
      <c r="H56" s="18"/>
    </row>
    <row r="57" s="2" customFormat="1" ht="14.25" spans="1:8">
      <c r="A57" s="20">
        <v>1</v>
      </c>
      <c r="B57" s="21" t="s">
        <v>249</v>
      </c>
      <c r="C57" s="22">
        <f>C58+C59+C60</f>
        <v>886</v>
      </c>
      <c r="D57" s="22">
        <f>D58+D59+D60</f>
        <v>0</v>
      </c>
      <c r="E57" s="22">
        <f>E58+E59+E60</f>
        <v>886</v>
      </c>
      <c r="F57" s="22">
        <f t="shared" si="21"/>
        <v>-886</v>
      </c>
      <c r="G57" s="22">
        <f t="shared" si="22"/>
        <v>0</v>
      </c>
      <c r="H57" s="18"/>
    </row>
    <row r="58" s="2" customFormat="1" ht="14.25" spans="1:8">
      <c r="A58" s="20"/>
      <c r="B58" s="21" t="s">
        <v>250</v>
      </c>
      <c r="C58" s="22">
        <v>70</v>
      </c>
      <c r="D58" s="22"/>
      <c r="E58" s="22">
        <v>70</v>
      </c>
      <c r="F58" s="22">
        <f t="shared" si="21"/>
        <v>-70</v>
      </c>
      <c r="G58" s="22">
        <f t="shared" si="22"/>
        <v>0</v>
      </c>
      <c r="H58" s="18"/>
    </row>
    <row r="59" s="2" customFormat="1" ht="14.25" spans="1:8">
      <c r="A59" s="20"/>
      <c r="B59" s="21" t="s">
        <v>251</v>
      </c>
      <c r="C59" s="22">
        <v>549</v>
      </c>
      <c r="D59" s="22"/>
      <c r="E59" s="22">
        <v>549</v>
      </c>
      <c r="F59" s="22">
        <f t="shared" si="21"/>
        <v>-549</v>
      </c>
      <c r="G59" s="22">
        <f t="shared" si="22"/>
        <v>0</v>
      </c>
      <c r="H59" s="18"/>
    </row>
    <row r="60" s="2" customFormat="1" ht="14.25" spans="1:8">
      <c r="A60" s="20"/>
      <c r="B60" s="21" t="s">
        <v>252</v>
      </c>
      <c r="C60" s="22">
        <v>267</v>
      </c>
      <c r="D60" s="22"/>
      <c r="E60" s="22">
        <v>267</v>
      </c>
      <c r="F60" s="22">
        <f t="shared" si="21"/>
        <v>-267</v>
      </c>
      <c r="G60" s="22">
        <f t="shared" si="22"/>
        <v>0</v>
      </c>
      <c r="H60" s="18"/>
    </row>
    <row r="61" s="2" customFormat="1" ht="14.25" spans="1:8">
      <c r="A61" s="20">
        <v>2</v>
      </c>
      <c r="B61" s="21" t="s">
        <v>253</v>
      </c>
      <c r="C61" s="22">
        <f>SUM(C62:C64)</f>
        <v>8626</v>
      </c>
      <c r="D61" s="22">
        <f>SUM(D62:D64)</f>
        <v>0</v>
      </c>
      <c r="E61" s="22">
        <f>SUM(E62:E64)</f>
        <v>8626</v>
      </c>
      <c r="F61" s="22">
        <f t="shared" si="21"/>
        <v>-8626</v>
      </c>
      <c r="G61" s="22">
        <f t="shared" si="22"/>
        <v>0</v>
      </c>
      <c r="H61" s="18"/>
    </row>
    <row r="62" s="2" customFormat="1" ht="14.25" spans="1:8">
      <c r="A62" s="20"/>
      <c r="B62" s="21" t="s">
        <v>254</v>
      </c>
      <c r="C62" s="22">
        <v>448</v>
      </c>
      <c r="D62" s="22"/>
      <c r="E62" s="22">
        <v>448</v>
      </c>
      <c r="F62" s="22">
        <f t="shared" si="21"/>
        <v>-448</v>
      </c>
      <c r="G62" s="22">
        <f t="shared" si="22"/>
        <v>0</v>
      </c>
      <c r="H62" s="18"/>
    </row>
    <row r="63" s="2" customFormat="1" ht="14.25" spans="1:8">
      <c r="A63" s="20"/>
      <c r="B63" s="21" t="s">
        <v>255</v>
      </c>
      <c r="C63" s="22">
        <v>5859</v>
      </c>
      <c r="D63" s="22"/>
      <c r="E63" s="22">
        <v>5859</v>
      </c>
      <c r="F63" s="22">
        <f t="shared" si="21"/>
        <v>-5859</v>
      </c>
      <c r="G63" s="22">
        <f t="shared" si="22"/>
        <v>0</v>
      </c>
      <c r="H63" s="18"/>
    </row>
    <row r="64" s="2" customFormat="1" ht="28.5" spans="1:8">
      <c r="A64" s="20"/>
      <c r="B64" s="21" t="s">
        <v>256</v>
      </c>
      <c r="C64" s="22">
        <v>2319</v>
      </c>
      <c r="D64" s="22"/>
      <c r="E64" s="22">
        <v>2319</v>
      </c>
      <c r="F64" s="22">
        <f t="shared" si="21"/>
        <v>-2319</v>
      </c>
      <c r="G64" s="22">
        <f t="shared" si="22"/>
        <v>0</v>
      </c>
      <c r="H64" s="18"/>
    </row>
    <row r="65" s="2" customFormat="1" ht="14.25" spans="1:8">
      <c r="A65" s="20">
        <v>3</v>
      </c>
      <c r="B65" s="21" t="s">
        <v>257</v>
      </c>
      <c r="C65" s="22">
        <v>2</v>
      </c>
      <c r="D65" s="22"/>
      <c r="E65" s="22">
        <v>2</v>
      </c>
      <c r="F65" s="22">
        <f t="shared" si="21"/>
        <v>-2</v>
      </c>
      <c r="G65" s="22">
        <f t="shared" si="22"/>
        <v>0</v>
      </c>
      <c r="H65" s="18"/>
    </row>
    <row r="66" s="2" customFormat="1" ht="14.25" spans="1:8">
      <c r="A66" s="20" t="s">
        <v>180</v>
      </c>
      <c r="B66" s="21" t="s">
        <v>222</v>
      </c>
      <c r="C66" s="22"/>
      <c r="D66" s="22">
        <v>492</v>
      </c>
      <c r="E66" s="22"/>
      <c r="F66" s="22">
        <f t="shared" si="21"/>
        <v>492</v>
      </c>
      <c r="G66" s="22">
        <f t="shared" si="22"/>
        <v>492</v>
      </c>
      <c r="H66" s="18"/>
    </row>
    <row r="67" s="2" customFormat="1" ht="14.25" spans="1:8">
      <c r="A67" s="15" t="s">
        <v>258</v>
      </c>
      <c r="B67" s="19" t="s">
        <v>259</v>
      </c>
      <c r="C67" s="26">
        <f t="shared" ref="C67:G67" si="23">SUM(C68:C72,C75,C78:C81,C88:C95,C99:C104,C109:C114,C117:C119)</f>
        <v>51581</v>
      </c>
      <c r="D67" s="26">
        <f t="shared" si="23"/>
        <v>18402</v>
      </c>
      <c r="E67" s="26">
        <f t="shared" si="23"/>
        <v>10281</v>
      </c>
      <c r="F67" s="26">
        <f t="shared" si="23"/>
        <v>8121</v>
      </c>
      <c r="G67" s="26">
        <f t="shared" si="23"/>
        <v>59702</v>
      </c>
      <c r="H67" s="18"/>
    </row>
    <row r="68" s="2" customFormat="1" ht="14.25" spans="1:8">
      <c r="A68" s="20" t="s">
        <v>29</v>
      </c>
      <c r="B68" s="27" t="s">
        <v>260</v>
      </c>
      <c r="C68" s="22">
        <v>267</v>
      </c>
      <c r="D68" s="22">
        <f>1546-267</f>
        <v>1279</v>
      </c>
      <c r="E68" s="22"/>
      <c r="F68" s="22">
        <f t="shared" ref="F68:F71" si="24">D68-E68</f>
        <v>1279</v>
      </c>
      <c r="G68" s="22">
        <f t="shared" ref="G68:G71" si="25">C68+F68</f>
        <v>1546</v>
      </c>
      <c r="H68" s="18"/>
    </row>
    <row r="69" s="2" customFormat="1" ht="14.25" spans="1:8">
      <c r="A69" s="20" t="s">
        <v>31</v>
      </c>
      <c r="B69" s="27" t="s">
        <v>261</v>
      </c>
      <c r="C69" s="22">
        <v>3862</v>
      </c>
      <c r="D69" s="22">
        <v>82</v>
      </c>
      <c r="E69" s="22"/>
      <c r="F69" s="22">
        <f t="shared" si="24"/>
        <v>82</v>
      </c>
      <c r="G69" s="22">
        <f t="shared" si="25"/>
        <v>3944</v>
      </c>
      <c r="H69" s="18"/>
    </row>
    <row r="70" s="2" customFormat="1" ht="14.25" spans="1:8">
      <c r="A70" s="20" t="s">
        <v>33</v>
      </c>
      <c r="B70" s="27" t="s">
        <v>262</v>
      </c>
      <c r="C70" s="22">
        <v>0</v>
      </c>
      <c r="D70" s="22">
        <v>1</v>
      </c>
      <c r="E70" s="22"/>
      <c r="F70" s="22">
        <f t="shared" si="24"/>
        <v>1</v>
      </c>
      <c r="G70" s="22">
        <f t="shared" si="25"/>
        <v>1</v>
      </c>
      <c r="H70" s="18"/>
    </row>
    <row r="71" s="2" customFormat="1" ht="14.25" spans="1:8">
      <c r="A71" s="20" t="s">
        <v>141</v>
      </c>
      <c r="B71" s="27" t="s">
        <v>263</v>
      </c>
      <c r="C71" s="22">
        <v>2564</v>
      </c>
      <c r="D71" s="22"/>
      <c r="E71" s="22">
        <v>863</v>
      </c>
      <c r="F71" s="22">
        <f t="shared" si="24"/>
        <v>-863</v>
      </c>
      <c r="G71" s="22">
        <f t="shared" si="25"/>
        <v>1701</v>
      </c>
      <c r="H71" s="18"/>
    </row>
    <row r="72" s="2" customFormat="1" ht="14.25" spans="1:8">
      <c r="A72" s="20" t="s">
        <v>143</v>
      </c>
      <c r="B72" s="27" t="s">
        <v>264</v>
      </c>
      <c r="C72" s="22">
        <f t="shared" ref="C72:G72" si="26">SUM(C73:C74)</f>
        <v>381</v>
      </c>
      <c r="D72" s="22">
        <f t="shared" si="26"/>
        <v>433</v>
      </c>
      <c r="E72" s="22">
        <f t="shared" si="26"/>
        <v>0</v>
      </c>
      <c r="F72" s="22">
        <f t="shared" si="26"/>
        <v>433</v>
      </c>
      <c r="G72" s="22">
        <f t="shared" si="26"/>
        <v>814</v>
      </c>
      <c r="H72" s="18"/>
    </row>
    <row r="73" s="2" customFormat="1" ht="14.25" spans="1:8">
      <c r="A73" s="20" t="s">
        <v>147</v>
      </c>
      <c r="B73" s="27" t="s">
        <v>265</v>
      </c>
      <c r="C73" s="22">
        <v>255</v>
      </c>
      <c r="D73" s="22">
        <f>638-255</f>
        <v>383</v>
      </c>
      <c r="E73" s="22"/>
      <c r="F73" s="22">
        <f t="shared" ref="F73:F80" si="27">D73-E73</f>
        <v>383</v>
      </c>
      <c r="G73" s="22">
        <f t="shared" ref="G73:G80" si="28">C73+F73</f>
        <v>638</v>
      </c>
      <c r="H73" s="18"/>
    </row>
    <row r="74" s="2" customFormat="1" ht="14.25" spans="1:8">
      <c r="A74" s="20" t="s">
        <v>149</v>
      </c>
      <c r="B74" s="27" t="s">
        <v>266</v>
      </c>
      <c r="C74" s="22">
        <v>126</v>
      </c>
      <c r="D74" s="22">
        <v>50</v>
      </c>
      <c r="E74" s="22"/>
      <c r="F74" s="22">
        <f t="shared" si="27"/>
        <v>50</v>
      </c>
      <c r="G74" s="22">
        <f t="shared" si="28"/>
        <v>176</v>
      </c>
      <c r="H74" s="18"/>
    </row>
    <row r="75" s="2" customFormat="1" ht="14.25" spans="1:8">
      <c r="A75" s="20" t="s">
        <v>145</v>
      </c>
      <c r="B75" s="27" t="s">
        <v>267</v>
      </c>
      <c r="C75" s="22">
        <f t="shared" ref="C75:G75" si="29">SUM(C76:C77)</f>
        <v>1060</v>
      </c>
      <c r="D75" s="22">
        <f t="shared" si="29"/>
        <v>0</v>
      </c>
      <c r="E75" s="22">
        <f t="shared" si="29"/>
        <v>151</v>
      </c>
      <c r="F75" s="22">
        <f t="shared" si="29"/>
        <v>-151</v>
      </c>
      <c r="G75" s="22">
        <f t="shared" si="29"/>
        <v>909</v>
      </c>
      <c r="H75" s="18"/>
    </row>
    <row r="76" s="2" customFormat="1" ht="14.25" spans="1:8">
      <c r="A76" s="20" t="s">
        <v>147</v>
      </c>
      <c r="B76" s="27" t="s">
        <v>268</v>
      </c>
      <c r="C76" s="22">
        <v>420</v>
      </c>
      <c r="D76" s="22"/>
      <c r="E76" s="22">
        <f>420-296</f>
        <v>124</v>
      </c>
      <c r="F76" s="22">
        <f t="shared" si="27"/>
        <v>-124</v>
      </c>
      <c r="G76" s="22">
        <f t="shared" si="28"/>
        <v>296</v>
      </c>
      <c r="H76" s="18"/>
    </row>
    <row r="77" s="2" customFormat="1" ht="14.25" spans="1:8">
      <c r="A77" s="20" t="s">
        <v>149</v>
      </c>
      <c r="B77" s="27" t="s">
        <v>269</v>
      </c>
      <c r="C77" s="22">
        <v>640</v>
      </c>
      <c r="D77" s="22"/>
      <c r="E77" s="22">
        <v>27</v>
      </c>
      <c r="F77" s="22">
        <f t="shared" si="27"/>
        <v>-27</v>
      </c>
      <c r="G77" s="22">
        <f t="shared" si="28"/>
        <v>613</v>
      </c>
      <c r="H77" s="18"/>
    </row>
    <row r="78" s="2" customFormat="1" ht="14.25" spans="1:8">
      <c r="A78" s="20" t="s">
        <v>270</v>
      </c>
      <c r="B78" s="27" t="s">
        <v>271</v>
      </c>
      <c r="C78" s="22">
        <v>3710</v>
      </c>
      <c r="D78" s="22"/>
      <c r="E78" s="22">
        <v>100</v>
      </c>
      <c r="F78" s="22">
        <f t="shared" si="27"/>
        <v>-100</v>
      </c>
      <c r="G78" s="22">
        <f t="shared" si="28"/>
        <v>3610</v>
      </c>
      <c r="H78" s="18"/>
    </row>
    <row r="79" s="2" customFormat="1" ht="14.25" spans="1:8">
      <c r="A79" s="20" t="s">
        <v>272</v>
      </c>
      <c r="B79" s="27" t="s">
        <v>273</v>
      </c>
      <c r="C79" s="22">
        <v>1129</v>
      </c>
      <c r="D79" s="22"/>
      <c r="E79" s="22">
        <v>1129</v>
      </c>
      <c r="F79" s="22">
        <f t="shared" si="27"/>
        <v>-1129</v>
      </c>
      <c r="G79" s="22">
        <f t="shared" si="28"/>
        <v>0</v>
      </c>
      <c r="H79" s="18"/>
    </row>
    <row r="80" s="2" customFormat="1" ht="28.5" spans="1:8">
      <c r="A80" s="20" t="s">
        <v>274</v>
      </c>
      <c r="B80" s="27" t="s">
        <v>275</v>
      </c>
      <c r="C80" s="22">
        <v>159</v>
      </c>
      <c r="D80" s="22">
        <v>147</v>
      </c>
      <c r="E80" s="22"/>
      <c r="F80" s="22">
        <f t="shared" si="27"/>
        <v>147</v>
      </c>
      <c r="G80" s="22">
        <f t="shared" si="28"/>
        <v>306</v>
      </c>
      <c r="H80" s="18"/>
    </row>
    <row r="81" s="2" customFormat="1" ht="14.25" spans="1:8">
      <c r="A81" s="20" t="s">
        <v>276</v>
      </c>
      <c r="B81" s="27" t="s">
        <v>277</v>
      </c>
      <c r="C81" s="22">
        <f t="shared" ref="C81:G81" si="30">SUM(C82:C87)</f>
        <v>8353</v>
      </c>
      <c r="D81" s="22">
        <f t="shared" si="30"/>
        <v>1648</v>
      </c>
      <c r="E81" s="22">
        <f t="shared" si="30"/>
        <v>795</v>
      </c>
      <c r="F81" s="22">
        <f t="shared" si="30"/>
        <v>853</v>
      </c>
      <c r="G81" s="22">
        <f t="shared" si="30"/>
        <v>9206</v>
      </c>
      <c r="H81" s="18"/>
    </row>
    <row r="82" s="2" customFormat="1" ht="14.25" spans="1:8">
      <c r="A82" s="20" t="s">
        <v>147</v>
      </c>
      <c r="B82" s="27" t="s">
        <v>278</v>
      </c>
      <c r="C82" s="22">
        <v>294</v>
      </c>
      <c r="D82" s="22"/>
      <c r="E82" s="22">
        <v>94</v>
      </c>
      <c r="F82" s="22">
        <f t="shared" ref="F82:F94" si="31">D82-E82</f>
        <v>-94</v>
      </c>
      <c r="G82" s="22">
        <f t="shared" ref="G82:G94" si="32">C82+F82</f>
        <v>200</v>
      </c>
      <c r="H82" s="18"/>
    </row>
    <row r="83" s="2" customFormat="1" ht="14.25" spans="1:8">
      <c r="A83" s="20" t="s">
        <v>149</v>
      </c>
      <c r="B83" s="27" t="s">
        <v>279</v>
      </c>
      <c r="C83" s="22">
        <v>4994</v>
      </c>
      <c r="D83" s="22">
        <f>6642-4994</f>
        <v>1648</v>
      </c>
      <c r="E83" s="22"/>
      <c r="F83" s="22">
        <f t="shared" si="31"/>
        <v>1648</v>
      </c>
      <c r="G83" s="22">
        <f t="shared" si="32"/>
        <v>6642</v>
      </c>
      <c r="H83" s="18"/>
    </row>
    <row r="84" s="2" customFormat="1" ht="14.25" spans="1:8">
      <c r="A84" s="20" t="s">
        <v>151</v>
      </c>
      <c r="B84" s="27" t="s">
        <v>280</v>
      </c>
      <c r="C84" s="22">
        <v>1949</v>
      </c>
      <c r="D84" s="22"/>
      <c r="E84" s="22">
        <f>1949-1418</f>
        <v>531</v>
      </c>
      <c r="F84" s="22">
        <f t="shared" si="31"/>
        <v>-531</v>
      </c>
      <c r="G84" s="22">
        <f t="shared" si="32"/>
        <v>1418</v>
      </c>
      <c r="H84" s="18"/>
    </row>
    <row r="85" s="2" customFormat="1" ht="14.25" spans="1:8">
      <c r="A85" s="20" t="s">
        <v>153</v>
      </c>
      <c r="B85" s="27" t="s">
        <v>281</v>
      </c>
      <c r="C85" s="22">
        <v>252</v>
      </c>
      <c r="D85" s="22"/>
      <c r="E85" s="22">
        <v>52</v>
      </c>
      <c r="F85" s="22">
        <f t="shared" si="31"/>
        <v>-52</v>
      </c>
      <c r="G85" s="22">
        <f t="shared" si="32"/>
        <v>200</v>
      </c>
      <c r="H85" s="18"/>
    </row>
    <row r="86" s="2" customFormat="1" ht="14.25" spans="1:8">
      <c r="A86" s="20" t="s">
        <v>282</v>
      </c>
      <c r="B86" s="27" t="s">
        <v>283</v>
      </c>
      <c r="C86" s="22">
        <v>859</v>
      </c>
      <c r="D86" s="22"/>
      <c r="E86" s="22">
        <f>859-746</f>
        <v>113</v>
      </c>
      <c r="F86" s="22">
        <f t="shared" si="31"/>
        <v>-113</v>
      </c>
      <c r="G86" s="22">
        <f t="shared" si="32"/>
        <v>746</v>
      </c>
      <c r="H86" s="18"/>
    </row>
    <row r="87" s="2" customFormat="1" ht="14.25" spans="1:8">
      <c r="A87" s="20" t="s">
        <v>284</v>
      </c>
      <c r="B87" s="27" t="s">
        <v>285</v>
      </c>
      <c r="C87" s="22">
        <v>5</v>
      </c>
      <c r="D87" s="22"/>
      <c r="E87" s="22">
        <v>5</v>
      </c>
      <c r="F87" s="22">
        <f t="shared" si="31"/>
        <v>-5</v>
      </c>
      <c r="G87" s="22">
        <f t="shared" si="32"/>
        <v>0</v>
      </c>
      <c r="H87" s="18"/>
    </row>
    <row r="88" s="2" customFormat="1" ht="14.25" spans="1:8">
      <c r="A88" s="20" t="s">
        <v>286</v>
      </c>
      <c r="B88" s="27" t="s">
        <v>287</v>
      </c>
      <c r="C88" s="22">
        <v>1094</v>
      </c>
      <c r="D88" s="22">
        <v>6</v>
      </c>
      <c r="E88" s="22"/>
      <c r="F88" s="22">
        <f t="shared" si="31"/>
        <v>6</v>
      </c>
      <c r="G88" s="22">
        <f t="shared" si="32"/>
        <v>1100</v>
      </c>
      <c r="H88" s="18"/>
    </row>
    <row r="89" s="2" customFormat="1" ht="14.25" spans="1:8">
      <c r="A89" s="20" t="s">
        <v>288</v>
      </c>
      <c r="B89" s="27" t="s">
        <v>289</v>
      </c>
      <c r="C89" s="22">
        <v>12198</v>
      </c>
      <c r="D89" s="22"/>
      <c r="E89" s="22">
        <f>12198-9172</f>
        <v>3026</v>
      </c>
      <c r="F89" s="22">
        <f t="shared" si="31"/>
        <v>-3026</v>
      </c>
      <c r="G89" s="22">
        <f t="shared" si="32"/>
        <v>9172</v>
      </c>
      <c r="H89" s="18"/>
    </row>
    <row r="90" s="2" customFormat="1" ht="14.25" spans="1:8">
      <c r="A90" s="20" t="s">
        <v>290</v>
      </c>
      <c r="B90" s="27" t="s">
        <v>291</v>
      </c>
      <c r="C90" s="22"/>
      <c r="D90" s="22">
        <v>2214</v>
      </c>
      <c r="E90" s="22"/>
      <c r="F90" s="22">
        <f t="shared" si="31"/>
        <v>2214</v>
      </c>
      <c r="G90" s="22">
        <f t="shared" si="32"/>
        <v>2214</v>
      </c>
      <c r="H90" s="18"/>
    </row>
    <row r="91" s="2" customFormat="1" ht="14.25" spans="1:8">
      <c r="A91" s="20" t="s">
        <v>292</v>
      </c>
      <c r="B91" s="27" t="s">
        <v>293</v>
      </c>
      <c r="C91" s="22">
        <v>919</v>
      </c>
      <c r="D91" s="22">
        <v>89</v>
      </c>
      <c r="E91" s="22"/>
      <c r="F91" s="22">
        <f t="shared" si="31"/>
        <v>89</v>
      </c>
      <c r="G91" s="22">
        <f t="shared" si="32"/>
        <v>1008</v>
      </c>
      <c r="H91" s="18"/>
    </row>
    <row r="92" s="2" customFormat="1" ht="14.25" spans="1:8">
      <c r="A92" s="20" t="s">
        <v>294</v>
      </c>
      <c r="B92" s="27" t="s">
        <v>295</v>
      </c>
      <c r="C92" s="22"/>
      <c r="D92" s="22">
        <v>251</v>
      </c>
      <c r="E92" s="22"/>
      <c r="F92" s="22">
        <f t="shared" si="31"/>
        <v>251</v>
      </c>
      <c r="G92" s="22">
        <f t="shared" si="32"/>
        <v>251</v>
      </c>
      <c r="H92" s="18"/>
    </row>
    <row r="93" s="2" customFormat="1" ht="28.5" spans="1:8">
      <c r="A93" s="20" t="s">
        <v>296</v>
      </c>
      <c r="B93" s="27" t="s">
        <v>297</v>
      </c>
      <c r="C93" s="22">
        <f>4354+32</f>
        <v>4386</v>
      </c>
      <c r="D93" s="22"/>
      <c r="E93" s="22">
        <f>4386-4005</f>
        <v>381</v>
      </c>
      <c r="F93" s="22">
        <f t="shared" si="31"/>
        <v>-381</v>
      </c>
      <c r="G93" s="22">
        <f t="shared" si="32"/>
        <v>4005</v>
      </c>
      <c r="H93" s="18"/>
    </row>
    <row r="94" s="2" customFormat="1" ht="14.25" spans="1:8">
      <c r="A94" s="20" t="s">
        <v>298</v>
      </c>
      <c r="B94" s="27" t="s">
        <v>299</v>
      </c>
      <c r="C94" s="22">
        <v>477</v>
      </c>
      <c r="D94" s="22"/>
      <c r="E94" s="22">
        <f>477-96</f>
        <v>381</v>
      </c>
      <c r="F94" s="22">
        <f t="shared" si="31"/>
        <v>-381</v>
      </c>
      <c r="G94" s="22">
        <f t="shared" si="32"/>
        <v>96</v>
      </c>
      <c r="H94" s="18"/>
    </row>
    <row r="95" s="2" customFormat="1" ht="14.25" spans="1:8">
      <c r="A95" s="20" t="s">
        <v>300</v>
      </c>
      <c r="B95" s="27" t="s">
        <v>301</v>
      </c>
      <c r="C95" s="22">
        <f t="shared" ref="C95:G95" si="33">SUM(C96:C98)</f>
        <v>1222</v>
      </c>
      <c r="D95" s="22">
        <f t="shared" si="33"/>
        <v>58</v>
      </c>
      <c r="E95" s="22">
        <f t="shared" si="33"/>
        <v>77</v>
      </c>
      <c r="F95" s="22">
        <f t="shared" si="33"/>
        <v>-19</v>
      </c>
      <c r="G95" s="22">
        <f t="shared" si="33"/>
        <v>1203</v>
      </c>
      <c r="H95" s="18"/>
    </row>
    <row r="96" s="2" customFormat="1" ht="14.25" spans="1:8">
      <c r="A96" s="20" t="s">
        <v>147</v>
      </c>
      <c r="B96" s="27" t="s">
        <v>302</v>
      </c>
      <c r="C96" s="22">
        <v>1096</v>
      </c>
      <c r="D96" s="22"/>
      <c r="E96" s="22">
        <f>1096-1019</f>
        <v>77</v>
      </c>
      <c r="F96" s="22">
        <f t="shared" ref="F96:F103" si="34">D96-E96</f>
        <v>-77</v>
      </c>
      <c r="G96" s="22">
        <f t="shared" ref="G96:G103" si="35">C96+F96</f>
        <v>1019</v>
      </c>
      <c r="H96" s="18"/>
    </row>
    <row r="97" s="2" customFormat="1" ht="14.25" spans="1:8">
      <c r="A97" s="20" t="s">
        <v>149</v>
      </c>
      <c r="B97" s="27" t="s">
        <v>303</v>
      </c>
      <c r="C97" s="22">
        <v>76</v>
      </c>
      <c r="D97" s="22">
        <f>114-76</f>
        <v>38</v>
      </c>
      <c r="E97" s="22"/>
      <c r="F97" s="22">
        <f t="shared" si="34"/>
        <v>38</v>
      </c>
      <c r="G97" s="22">
        <f t="shared" si="35"/>
        <v>114</v>
      </c>
      <c r="H97" s="18"/>
    </row>
    <row r="98" s="2" customFormat="1" ht="14.25" spans="1:8">
      <c r="A98" s="20" t="s">
        <v>151</v>
      </c>
      <c r="B98" s="27" t="s">
        <v>304</v>
      </c>
      <c r="C98" s="22">
        <v>50</v>
      </c>
      <c r="D98" s="22">
        <v>20</v>
      </c>
      <c r="E98" s="22"/>
      <c r="F98" s="22">
        <f t="shared" si="34"/>
        <v>20</v>
      </c>
      <c r="G98" s="22">
        <f t="shared" si="35"/>
        <v>70</v>
      </c>
      <c r="H98" s="18"/>
    </row>
    <row r="99" s="2" customFormat="1" ht="14.25" spans="1:8">
      <c r="A99" s="20" t="s">
        <v>305</v>
      </c>
      <c r="B99" s="27" t="s">
        <v>306</v>
      </c>
      <c r="C99" s="22">
        <v>726</v>
      </c>
      <c r="D99" s="22"/>
      <c r="E99" s="22"/>
      <c r="F99" s="22">
        <f t="shared" si="34"/>
        <v>0</v>
      </c>
      <c r="G99" s="22">
        <f t="shared" si="35"/>
        <v>726</v>
      </c>
      <c r="H99" s="18"/>
    </row>
    <row r="100" s="2" customFormat="1" ht="14.25" spans="1:8">
      <c r="A100" s="20" t="s">
        <v>307</v>
      </c>
      <c r="B100" s="27" t="s">
        <v>308</v>
      </c>
      <c r="C100" s="22">
        <v>3373</v>
      </c>
      <c r="D100" s="22"/>
      <c r="E100" s="22">
        <f>3373-1183</f>
        <v>2190</v>
      </c>
      <c r="F100" s="22">
        <f t="shared" si="34"/>
        <v>-2190</v>
      </c>
      <c r="G100" s="22">
        <f t="shared" si="35"/>
        <v>1183</v>
      </c>
      <c r="H100" s="18"/>
    </row>
    <row r="101" s="2" customFormat="1" ht="14.25" spans="1:8">
      <c r="A101" s="20" t="s">
        <v>309</v>
      </c>
      <c r="B101" s="27" t="s">
        <v>310</v>
      </c>
      <c r="C101" s="22">
        <v>875</v>
      </c>
      <c r="D101" s="22"/>
      <c r="E101" s="22">
        <f>875-438</f>
        <v>437</v>
      </c>
      <c r="F101" s="22">
        <f t="shared" si="34"/>
        <v>-437</v>
      </c>
      <c r="G101" s="22">
        <f t="shared" si="35"/>
        <v>438</v>
      </c>
      <c r="H101" s="18"/>
    </row>
    <row r="102" s="2" customFormat="1" ht="14.25" spans="1:8">
      <c r="A102" s="20" t="s">
        <v>311</v>
      </c>
      <c r="B102" s="27" t="s">
        <v>312</v>
      </c>
      <c r="C102" s="22">
        <v>40</v>
      </c>
      <c r="D102" s="22"/>
      <c r="E102" s="22"/>
      <c r="F102" s="22">
        <f t="shared" si="34"/>
        <v>0</v>
      </c>
      <c r="G102" s="22">
        <f t="shared" si="35"/>
        <v>40</v>
      </c>
      <c r="H102" s="18"/>
    </row>
    <row r="103" s="2" customFormat="1" ht="14.25" spans="1:8">
      <c r="A103" s="20" t="s">
        <v>313</v>
      </c>
      <c r="B103" s="27" t="s">
        <v>314</v>
      </c>
      <c r="C103" s="22">
        <v>1830</v>
      </c>
      <c r="D103" s="22"/>
      <c r="E103" s="22">
        <f>1830-1149</f>
        <v>681</v>
      </c>
      <c r="F103" s="22">
        <f t="shared" si="34"/>
        <v>-681</v>
      </c>
      <c r="G103" s="22">
        <f t="shared" si="35"/>
        <v>1149</v>
      </c>
      <c r="H103" s="18"/>
    </row>
    <row r="104" s="2" customFormat="1" ht="14.25" spans="1:8">
      <c r="A104" s="20" t="s">
        <v>315</v>
      </c>
      <c r="B104" s="21" t="s">
        <v>316</v>
      </c>
      <c r="C104" s="22">
        <f t="shared" ref="C104:G104" si="36">SUM(C105:C108)</f>
        <v>0</v>
      </c>
      <c r="D104" s="22">
        <f t="shared" si="36"/>
        <v>9767</v>
      </c>
      <c r="E104" s="22">
        <f t="shared" si="36"/>
        <v>0</v>
      </c>
      <c r="F104" s="22">
        <f t="shared" si="36"/>
        <v>9767</v>
      </c>
      <c r="G104" s="22">
        <f t="shared" si="36"/>
        <v>9767</v>
      </c>
      <c r="H104" s="18"/>
    </row>
    <row r="105" s="2" customFormat="1" ht="14.25" spans="1:8">
      <c r="A105" s="20" t="s">
        <v>147</v>
      </c>
      <c r="B105" s="21" t="s">
        <v>317</v>
      </c>
      <c r="C105" s="22"/>
      <c r="D105" s="22">
        <v>5765</v>
      </c>
      <c r="E105" s="22"/>
      <c r="F105" s="22">
        <f t="shared" ref="F105:F113" si="37">D105-E105</f>
        <v>5765</v>
      </c>
      <c r="G105" s="22">
        <f t="shared" ref="G105:G113" si="38">C105+F105</f>
        <v>5765</v>
      </c>
      <c r="H105" s="18"/>
    </row>
    <row r="106" s="2" customFormat="1" ht="14.25" spans="1:8">
      <c r="A106" s="20" t="s">
        <v>149</v>
      </c>
      <c r="B106" s="21" t="s">
        <v>318</v>
      </c>
      <c r="C106" s="22"/>
      <c r="D106" s="22">
        <v>2291</v>
      </c>
      <c r="E106" s="22"/>
      <c r="F106" s="22">
        <f t="shared" si="37"/>
        <v>2291</v>
      </c>
      <c r="G106" s="22">
        <f t="shared" si="38"/>
        <v>2291</v>
      </c>
      <c r="H106" s="18"/>
    </row>
    <row r="107" s="2" customFormat="1" ht="14.25" spans="1:8">
      <c r="A107" s="20" t="s">
        <v>151</v>
      </c>
      <c r="B107" s="21" t="s">
        <v>319</v>
      </c>
      <c r="C107" s="22"/>
      <c r="D107" s="22">
        <v>1464</v>
      </c>
      <c r="E107" s="22"/>
      <c r="F107" s="22">
        <f t="shared" si="37"/>
        <v>1464</v>
      </c>
      <c r="G107" s="22">
        <f t="shared" si="38"/>
        <v>1464</v>
      </c>
      <c r="H107" s="18"/>
    </row>
    <row r="108" s="2" customFormat="1" ht="14.25" spans="1:8">
      <c r="A108" s="20" t="s">
        <v>153</v>
      </c>
      <c r="B108" s="21" t="s">
        <v>320</v>
      </c>
      <c r="C108" s="22"/>
      <c r="D108" s="22">
        <v>247</v>
      </c>
      <c r="E108" s="22"/>
      <c r="F108" s="22">
        <f t="shared" si="37"/>
        <v>247</v>
      </c>
      <c r="G108" s="22">
        <f t="shared" si="38"/>
        <v>247</v>
      </c>
      <c r="H108" s="18"/>
    </row>
    <row r="109" s="2" customFormat="1" ht="14.25" spans="1:8">
      <c r="A109" s="20" t="s">
        <v>321</v>
      </c>
      <c r="B109" s="27" t="s">
        <v>322</v>
      </c>
      <c r="C109" s="22">
        <v>1213</v>
      </c>
      <c r="D109" s="22"/>
      <c r="E109" s="22"/>
      <c r="F109" s="22">
        <f t="shared" si="37"/>
        <v>0</v>
      </c>
      <c r="G109" s="22">
        <f t="shared" si="38"/>
        <v>1213</v>
      </c>
      <c r="H109" s="18"/>
    </row>
    <row r="110" s="2" customFormat="1" ht="14.25" spans="1:8">
      <c r="A110" s="20" t="s">
        <v>323</v>
      </c>
      <c r="B110" s="27" t="s">
        <v>324</v>
      </c>
      <c r="C110" s="22">
        <v>780</v>
      </c>
      <c r="D110" s="22"/>
      <c r="E110" s="22">
        <f>780-710</f>
        <v>70</v>
      </c>
      <c r="F110" s="22">
        <f t="shared" si="37"/>
        <v>-70</v>
      </c>
      <c r="G110" s="22">
        <f t="shared" si="38"/>
        <v>710</v>
      </c>
      <c r="H110" s="18"/>
    </row>
    <row r="111" s="2" customFormat="1" ht="28.5" spans="1:8">
      <c r="A111" s="20" t="s">
        <v>325</v>
      </c>
      <c r="B111" s="27" t="s">
        <v>326</v>
      </c>
      <c r="C111" s="22">
        <v>136</v>
      </c>
      <c r="D111" s="22"/>
      <c r="E111" s="22"/>
      <c r="F111" s="22">
        <f t="shared" si="37"/>
        <v>0</v>
      </c>
      <c r="G111" s="22">
        <f t="shared" si="38"/>
        <v>136</v>
      </c>
      <c r="H111" s="18"/>
    </row>
    <row r="112" s="2" customFormat="1" ht="14.25" spans="1:8">
      <c r="A112" s="20" t="s">
        <v>327</v>
      </c>
      <c r="B112" s="27" t="s">
        <v>328</v>
      </c>
      <c r="C112" s="22">
        <v>628</v>
      </c>
      <c r="D112" s="22">
        <f>1856-628</f>
        <v>1228</v>
      </c>
      <c r="E112" s="22"/>
      <c r="F112" s="22">
        <f t="shared" si="37"/>
        <v>1228</v>
      </c>
      <c r="G112" s="22">
        <f t="shared" si="38"/>
        <v>1856</v>
      </c>
      <c r="H112" s="18"/>
    </row>
    <row r="113" s="2" customFormat="1" ht="14.25" spans="1:8">
      <c r="A113" s="20" t="s">
        <v>329</v>
      </c>
      <c r="B113" s="27" t="s">
        <v>330</v>
      </c>
      <c r="C113" s="22">
        <v>162</v>
      </c>
      <c r="D113" s="22">
        <f>750-162</f>
        <v>588</v>
      </c>
      <c r="E113" s="22"/>
      <c r="F113" s="22">
        <f t="shared" si="37"/>
        <v>588</v>
      </c>
      <c r="G113" s="22">
        <f t="shared" si="38"/>
        <v>750</v>
      </c>
      <c r="H113" s="18"/>
    </row>
    <row r="114" s="2" customFormat="1" ht="14.25" spans="1:8">
      <c r="A114" s="20" t="s">
        <v>331</v>
      </c>
      <c r="B114" s="21" t="s">
        <v>332</v>
      </c>
      <c r="C114" s="22">
        <f t="shared" ref="C114:G114" si="39">SUM(C115:C116)</f>
        <v>0</v>
      </c>
      <c r="D114" s="22">
        <f t="shared" si="39"/>
        <v>595</v>
      </c>
      <c r="E114" s="22">
        <f t="shared" si="39"/>
        <v>0</v>
      </c>
      <c r="F114" s="22">
        <f t="shared" si="39"/>
        <v>595</v>
      </c>
      <c r="G114" s="22">
        <f t="shared" si="39"/>
        <v>595</v>
      </c>
      <c r="H114" s="18"/>
    </row>
    <row r="115" s="2" customFormat="1" ht="14.25" spans="1:8">
      <c r="A115" s="20" t="s">
        <v>147</v>
      </c>
      <c r="B115" s="21" t="s">
        <v>333</v>
      </c>
      <c r="C115" s="22"/>
      <c r="D115" s="22">
        <v>434</v>
      </c>
      <c r="E115" s="22"/>
      <c r="F115" s="22">
        <f t="shared" ref="F115:F120" si="40">D115-E115</f>
        <v>434</v>
      </c>
      <c r="G115" s="22">
        <f t="shared" ref="G115:G120" si="41">C115+F115</f>
        <v>434</v>
      </c>
      <c r="H115" s="18"/>
    </row>
    <row r="116" s="2" customFormat="1" ht="14.25" spans="1:8">
      <c r="A116" s="20" t="s">
        <v>149</v>
      </c>
      <c r="B116" s="21" t="s">
        <v>334</v>
      </c>
      <c r="C116" s="22"/>
      <c r="D116" s="22">
        <v>161</v>
      </c>
      <c r="E116" s="22"/>
      <c r="F116" s="22">
        <f t="shared" si="40"/>
        <v>161</v>
      </c>
      <c r="G116" s="22">
        <f t="shared" si="41"/>
        <v>161</v>
      </c>
      <c r="H116" s="18"/>
    </row>
    <row r="117" s="2" customFormat="1" ht="14.25" spans="1:8">
      <c r="A117" s="20" t="s">
        <v>335</v>
      </c>
      <c r="B117" s="21" t="s">
        <v>257</v>
      </c>
      <c r="C117" s="22">
        <v>0</v>
      </c>
      <c r="D117" s="22">
        <v>16</v>
      </c>
      <c r="E117" s="22"/>
      <c r="F117" s="22">
        <f t="shared" si="40"/>
        <v>16</v>
      </c>
      <c r="G117" s="22">
        <f t="shared" si="41"/>
        <v>16</v>
      </c>
      <c r="H117" s="18"/>
    </row>
    <row r="118" s="2" customFormat="1" ht="14.25" spans="1:8">
      <c r="A118" s="20" t="s">
        <v>336</v>
      </c>
      <c r="B118" s="27" t="s">
        <v>337</v>
      </c>
      <c r="C118" s="22">
        <v>20</v>
      </c>
      <c r="D118" s="22"/>
      <c r="E118" s="22"/>
      <c r="F118" s="22">
        <f t="shared" si="40"/>
        <v>0</v>
      </c>
      <c r="G118" s="22">
        <f t="shared" si="41"/>
        <v>20</v>
      </c>
      <c r="H118" s="18"/>
    </row>
    <row r="119" s="2" customFormat="1" ht="14.25" spans="1:8">
      <c r="A119" s="20" t="s">
        <v>338</v>
      </c>
      <c r="B119" s="27" t="s">
        <v>339</v>
      </c>
      <c r="C119" s="22">
        <v>17</v>
      </c>
      <c r="D119" s="22"/>
      <c r="E119" s="22"/>
      <c r="F119" s="22">
        <f t="shared" si="40"/>
        <v>0</v>
      </c>
      <c r="G119" s="22">
        <f t="shared" si="41"/>
        <v>17</v>
      </c>
      <c r="H119" s="18"/>
    </row>
    <row r="120" s="2" customFormat="1" ht="14.25" spans="1:8">
      <c r="A120" s="20"/>
      <c r="B120" s="27"/>
      <c r="C120" s="22"/>
      <c r="D120" s="22"/>
      <c r="E120" s="22"/>
      <c r="F120" s="22">
        <f t="shared" si="40"/>
        <v>0</v>
      </c>
      <c r="G120" s="22">
        <f t="shared" si="41"/>
        <v>0</v>
      </c>
      <c r="H120" s="18"/>
    </row>
  </sheetData>
  <mergeCells count="2">
    <mergeCell ref="A2:H2"/>
    <mergeCell ref="A5:B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表1一般公共预算收支总表</vt:lpstr>
      <vt:lpstr>表1-1 一般公共预算收入调整明细表</vt:lpstr>
      <vt:lpstr>表1-2地方一般公共预算支出调整表</vt:lpstr>
      <vt:lpstr>表2 政府性基金收支预调整算表</vt:lpstr>
      <vt:lpstr>表3 国有资本经营预算收支预算</vt:lpstr>
      <vt:lpstr>表4 2023年度“三保”支出调整明细表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2023-08-03T01:18:00Z</cp:lastPrinted>
  <dcterms:modified xsi:type="dcterms:W3CDTF">2024-12-10T02:19:35Z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3A3CCB40157C407C90A3EAC831AFA28F</vt:lpwstr>
  </property>
</Properties>
</file>